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drawings/drawing13.xml" ContentType="application/vnd.openxmlformats-officedocument.drawing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user\Desktop\DEC RENTA PRESENTADAS EN 2026\"/>
    </mc:Choice>
  </mc:AlternateContent>
  <bookViews>
    <workbookView xWindow="0" yWindow="0" windowWidth="28740" windowHeight="12270" tabRatio="820"/>
  </bookViews>
  <sheets>
    <sheet name="Portada" sheetId="27" r:id="rId1"/>
    <sheet name="Presentación" sheetId="28" r:id="rId2"/>
    <sheet name="CIUU" sheetId="22" r:id="rId3"/>
    <sheet name="Vencimientos" sheetId="24" r:id="rId4"/>
    <sheet name="Datos" sheetId="30" r:id="rId5"/>
    <sheet name="Patrimonio Bruto" sheetId="31" r:id="rId6"/>
    <sheet name="Patrimonio Liquido" sheetId="11" r:id="rId7"/>
    <sheet name="Rentas" sheetId="32" r:id="rId8"/>
    <sheet name="Rtas Especiales" sheetId="10" r:id="rId9"/>
    <sheet name="Nómina" sheetId="7" r:id="rId10"/>
    <sheet name="Gastos" sheetId="33" r:id="rId11"/>
    <sheet name="Anexo Contador" sheetId="29" r:id="rId12"/>
    <sheet name="DR 210 Borrador" sheetId="17" r:id="rId13"/>
    <sheet name="Decreto 0449 de 2026" sheetId="26" r:id="rId14"/>
    <sheet name="Estados Financieros" sheetId="34" r:id="rId15"/>
  </sheets>
  <externalReferences>
    <externalReference r:id="rId16"/>
  </externalReferences>
  <definedNames>
    <definedName name="EXENTA">#REF!</definedName>
    <definedName name="_xlnm.Print_Titles" localSheetId="11">'Anexo Contador'!$1:$11</definedName>
    <definedName name="_xlnm.Print_Titles" localSheetId="7">Rentas!$1:$8</definedName>
    <definedName name="_xlnm.Print_Titles" localSheetId="8">'Rtas Especiales'!$1:$7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34" l="1"/>
  <c r="I22" i="24" l="1"/>
  <c r="I18" i="24"/>
  <c r="I13" i="24"/>
  <c r="AE29" i="26" l="1"/>
  <c r="AE28" i="26"/>
  <c r="AE27" i="26"/>
  <c r="AE26" i="26"/>
  <c r="AE25" i="26"/>
  <c r="AE24" i="26"/>
  <c r="AE23" i="26"/>
  <c r="AE22" i="26"/>
  <c r="AE21" i="26"/>
  <c r="AE20" i="26"/>
  <c r="AE19" i="26"/>
  <c r="AE18" i="26"/>
  <c r="AE17" i="26"/>
  <c r="AE16" i="26"/>
  <c r="AB29" i="26"/>
  <c r="AB28" i="26"/>
  <c r="AB27" i="26"/>
  <c r="AB26" i="26"/>
  <c r="AB25" i="26"/>
  <c r="AB24" i="26"/>
  <c r="AB23" i="26"/>
  <c r="AB22" i="26"/>
  <c r="AB21" i="26"/>
  <c r="AB20" i="26"/>
  <c r="AB19" i="26"/>
  <c r="AB18" i="26"/>
  <c r="AB17" i="26"/>
  <c r="AB16" i="26"/>
  <c r="AB15" i="26"/>
  <c r="Y15" i="26"/>
  <c r="X15" i="26"/>
  <c r="W15" i="26"/>
  <c r="V15" i="26"/>
  <c r="N28" i="26"/>
  <c r="N25" i="26"/>
  <c r="N29" i="26"/>
  <c r="N27" i="26"/>
  <c r="N26" i="26"/>
  <c r="N24" i="26"/>
  <c r="N23" i="26"/>
  <c r="N22" i="26"/>
  <c r="N21" i="26"/>
  <c r="N20" i="26"/>
  <c r="N19" i="26"/>
  <c r="P19" i="26" s="1"/>
  <c r="R19" i="26" s="1"/>
  <c r="N18" i="26"/>
  <c r="P18" i="26" s="1"/>
  <c r="R18" i="26" s="1"/>
  <c r="N17" i="26"/>
  <c r="P17" i="26" s="1"/>
  <c r="R17" i="26" s="1"/>
  <c r="N16" i="26"/>
  <c r="P16" i="26" s="1"/>
  <c r="R16" i="26" s="1"/>
  <c r="N15" i="26"/>
  <c r="I14" i="24"/>
  <c r="I15" i="24" s="1"/>
  <c r="I16" i="24" s="1"/>
  <c r="I19" i="24" s="1"/>
  <c r="I20" i="24" s="1"/>
  <c r="I23" i="24" s="1"/>
  <c r="I24" i="24" s="1"/>
  <c r="I25" i="24" s="1"/>
  <c r="F14" i="24"/>
  <c r="F15" i="24" s="1"/>
  <c r="F17" i="24" s="1"/>
  <c r="F18" i="24" s="1"/>
  <c r="F19" i="24" s="1"/>
  <c r="F20" i="24" s="1"/>
  <c r="F22" i="24" s="1"/>
  <c r="F23" i="24" s="1"/>
  <c r="F24" i="24" s="1"/>
  <c r="F25" i="24" s="1"/>
  <c r="F13" i="24"/>
  <c r="F12" i="24"/>
  <c r="C15" i="24"/>
  <c r="C16" i="24" s="1"/>
  <c r="C17" i="24" s="1"/>
  <c r="C19" i="24" s="1"/>
  <c r="C20" i="24" s="1"/>
  <c r="C21" i="24" s="1"/>
  <c r="C22" i="24" s="1"/>
  <c r="C24" i="24" s="1"/>
  <c r="C25" i="24" s="1"/>
  <c r="C26" i="24" s="1"/>
  <c r="C27" i="24" s="1"/>
  <c r="N57" i="17"/>
  <c r="N54" i="17"/>
  <c r="P15" i="26" l="1"/>
  <c r="R15" i="26" s="1"/>
  <c r="P28" i="26"/>
  <c r="R28" i="26" s="1"/>
  <c r="P25" i="26"/>
  <c r="R25" i="26"/>
  <c r="P29" i="26"/>
  <c r="R29" i="26" s="1"/>
  <c r="P27" i="26"/>
  <c r="R27" i="26" s="1"/>
  <c r="P26" i="26"/>
  <c r="R26" i="26" s="1"/>
  <c r="P24" i="26"/>
  <c r="R24" i="26" s="1"/>
  <c r="P23" i="26"/>
  <c r="R23" i="26" s="1"/>
  <c r="P22" i="26"/>
  <c r="R22" i="26" s="1"/>
  <c r="P21" i="26"/>
  <c r="R21" i="26" s="1"/>
  <c r="P20" i="26"/>
  <c r="R20" i="26" s="1"/>
  <c r="AB4" i="34"/>
  <c r="AB23" i="34" s="1"/>
  <c r="E3" i="34"/>
  <c r="Z2" i="34"/>
  <c r="R2" i="34"/>
  <c r="J2" i="34"/>
  <c r="B2" i="34"/>
  <c r="J156" i="29" l="1"/>
  <c r="F125" i="32" l="1"/>
  <c r="P131" i="32" l="1"/>
  <c r="N131" i="32"/>
  <c r="L131" i="32"/>
  <c r="J131" i="32"/>
  <c r="H131" i="32"/>
  <c r="I58" i="17" l="1"/>
  <c r="M56" i="17"/>
  <c r="G51" i="17"/>
  <c r="AE51" i="17"/>
  <c r="AC10" i="17"/>
  <c r="N51" i="17" l="1"/>
  <c r="F147" i="29"/>
  <c r="N187" i="32" l="1"/>
  <c r="P31" i="33"/>
  <c r="P30" i="33"/>
  <c r="P29" i="33"/>
  <c r="P28" i="33"/>
  <c r="P27" i="33"/>
  <c r="P26" i="33"/>
  <c r="P25" i="33"/>
  <c r="P24" i="33"/>
  <c r="P23" i="33"/>
  <c r="P22" i="33"/>
  <c r="P21" i="33"/>
  <c r="P20" i="33"/>
  <c r="P19" i="33"/>
  <c r="P18" i="33"/>
  <c r="P17" i="33"/>
  <c r="P16" i="33"/>
  <c r="P15" i="33"/>
  <c r="P14" i="33"/>
  <c r="P13" i="33"/>
  <c r="P12" i="33"/>
  <c r="V25" i="10"/>
  <c r="V24" i="10"/>
  <c r="V23" i="10"/>
  <c r="V22" i="10"/>
  <c r="V21" i="10"/>
  <c r="V20" i="10"/>
  <c r="V19" i="10"/>
  <c r="V18" i="10"/>
  <c r="V17" i="10"/>
  <c r="V16" i="10"/>
  <c r="V15" i="10"/>
  <c r="V14" i="10"/>
  <c r="V13" i="10"/>
  <c r="V12" i="10"/>
  <c r="J187" i="32"/>
  <c r="P167" i="32" l="1"/>
  <c r="L167" i="32"/>
  <c r="J167" i="32"/>
  <c r="H167" i="32"/>
  <c r="F167" i="32"/>
  <c r="B6" i="33" l="1"/>
  <c r="P6" i="33"/>
  <c r="H2" i="33"/>
  <c r="F2" i="33"/>
  <c r="D2" i="33"/>
  <c r="B2" i="33"/>
  <c r="J33" i="33"/>
  <c r="H33" i="33"/>
  <c r="F33" i="33"/>
  <c r="C6" i="33"/>
  <c r="P33" i="33" l="1"/>
  <c r="K203" i="29"/>
  <c r="K205" i="29"/>
  <c r="K204" i="29"/>
  <c r="K202" i="29"/>
  <c r="K201" i="29"/>
  <c r="L205" i="29" l="1"/>
  <c r="F201" i="29" s="1"/>
  <c r="AE7" i="26"/>
  <c r="C7" i="26"/>
  <c r="B7" i="26"/>
  <c r="H3" i="26"/>
  <c r="F3" i="26"/>
  <c r="B3" i="26"/>
  <c r="D3" i="26"/>
  <c r="N56" i="17"/>
  <c r="F56" i="17"/>
  <c r="G53" i="17"/>
  <c r="L10" i="17"/>
  <c r="AC9" i="17"/>
  <c r="V9" i="17"/>
  <c r="L9" i="17"/>
  <c r="AG8" i="17"/>
  <c r="E4" i="17"/>
  <c r="E6" i="29"/>
  <c r="M7" i="17" s="1"/>
  <c r="D6" i="29"/>
  <c r="C7" i="17" s="1"/>
  <c r="J4" i="29"/>
  <c r="AD7" i="17" s="1"/>
  <c r="H4" i="29"/>
  <c r="X7" i="17" s="1"/>
  <c r="F4" i="29"/>
  <c r="S7" i="17" s="1"/>
  <c r="D4" i="29"/>
  <c r="N7" i="17" s="1"/>
  <c r="V6" i="10"/>
  <c r="C6" i="10"/>
  <c r="B6" i="10"/>
  <c r="H2" i="10"/>
  <c r="F2" i="10"/>
  <c r="D2" i="10"/>
  <c r="B2" i="10"/>
  <c r="V134" i="29"/>
  <c r="V133" i="29"/>
  <c r="V130" i="29"/>
  <c r="V132" i="29"/>
  <c r="V129" i="29"/>
  <c r="V128" i="29"/>
  <c r="P20" i="29"/>
  <c r="J91" i="29"/>
  <c r="G31" i="17" s="1"/>
  <c r="H84" i="29"/>
  <c r="H78" i="29"/>
  <c r="H76" i="29"/>
  <c r="H75" i="29"/>
  <c r="H70" i="29"/>
  <c r="H66" i="29"/>
  <c r="H60" i="29"/>
  <c r="H58" i="29"/>
  <c r="H57" i="29"/>
  <c r="H48" i="29"/>
  <c r="H43" i="29"/>
  <c r="H42" i="29"/>
  <c r="H40" i="29"/>
  <c r="H39" i="29"/>
  <c r="H29" i="29"/>
  <c r="H26" i="29"/>
  <c r="D4" i="7"/>
  <c r="B4" i="7"/>
  <c r="L4" i="7"/>
  <c r="H2" i="7"/>
  <c r="F2" i="7"/>
  <c r="D2" i="7"/>
  <c r="B2" i="7"/>
  <c r="H38" i="10"/>
  <c r="D38" i="10"/>
  <c r="M4" i="32" l="1"/>
  <c r="F4" i="32"/>
  <c r="B4" i="32"/>
  <c r="H2" i="32"/>
  <c r="F2" i="32"/>
  <c r="D2" i="32"/>
  <c r="B2" i="32"/>
  <c r="L207" i="32"/>
  <c r="F195" i="32"/>
  <c r="J90" i="29" s="1"/>
  <c r="AE30" i="17" s="1"/>
  <c r="L149" i="32"/>
  <c r="J149" i="32"/>
  <c r="H149" i="32"/>
  <c r="H151" i="32" s="1"/>
  <c r="H161" i="32" s="1"/>
  <c r="H57" i="10" s="1"/>
  <c r="F149" i="32"/>
  <c r="L133" i="32"/>
  <c r="L159" i="32" s="1"/>
  <c r="L56" i="10" s="1"/>
  <c r="J133" i="32"/>
  <c r="J159" i="32" s="1"/>
  <c r="J56" i="10" s="1"/>
  <c r="P114" i="32"/>
  <c r="L114" i="32"/>
  <c r="H74" i="29" s="1"/>
  <c r="J74" i="29" s="1"/>
  <c r="AD18" i="17" s="1"/>
  <c r="J114" i="32"/>
  <c r="P104" i="32"/>
  <c r="P96" i="32"/>
  <c r="L86" i="32"/>
  <c r="J37" i="33" s="1"/>
  <c r="J39" i="33" s="1"/>
  <c r="J86" i="32"/>
  <c r="H86" i="32"/>
  <c r="F37" i="33" s="1"/>
  <c r="P71" i="32"/>
  <c r="N71" i="32"/>
  <c r="L71" i="32"/>
  <c r="J71" i="32"/>
  <c r="H71" i="32"/>
  <c r="F71" i="32"/>
  <c r="L56" i="32"/>
  <c r="P50" i="32"/>
  <c r="N50" i="32"/>
  <c r="L50" i="32"/>
  <c r="J50" i="32"/>
  <c r="H50" i="32"/>
  <c r="F50" i="32"/>
  <c r="P4" i="11"/>
  <c r="C4" i="11"/>
  <c r="B4" i="11"/>
  <c r="H2" i="11"/>
  <c r="F2" i="11"/>
  <c r="D2" i="11"/>
  <c r="B2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6" i="11"/>
  <c r="P15" i="11"/>
  <c r="P14" i="11"/>
  <c r="P13" i="11"/>
  <c r="P12" i="11"/>
  <c r="P11" i="11"/>
  <c r="P10" i="11"/>
  <c r="P9" i="11"/>
  <c r="N32" i="11"/>
  <c r="N31" i="11"/>
  <c r="N30" i="11"/>
  <c r="N29" i="11"/>
  <c r="N28" i="11"/>
  <c r="N27" i="11"/>
  <c r="N25" i="11"/>
  <c r="N24" i="11"/>
  <c r="N23" i="11"/>
  <c r="N22" i="11"/>
  <c r="N21" i="11"/>
  <c r="N20" i="11"/>
  <c r="N19" i="11"/>
  <c r="N18" i="11"/>
  <c r="N17" i="11"/>
  <c r="N10" i="11"/>
  <c r="N9" i="11"/>
  <c r="L32" i="1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3" i="11"/>
  <c r="L11" i="11"/>
  <c r="L10" i="11"/>
  <c r="L9" i="11"/>
  <c r="J32" i="11"/>
  <c r="J31" i="11"/>
  <c r="J30" i="11"/>
  <c r="J29" i="11"/>
  <c r="J27" i="11"/>
  <c r="J26" i="11"/>
  <c r="J25" i="11"/>
  <c r="J24" i="11"/>
  <c r="J21" i="11"/>
  <c r="J20" i="11"/>
  <c r="J19" i="11"/>
  <c r="J18" i="11"/>
  <c r="J17" i="11"/>
  <c r="J16" i="11"/>
  <c r="J15" i="11"/>
  <c r="J9" i="11"/>
  <c r="H32" i="11"/>
  <c r="H31" i="11"/>
  <c r="H30" i="11"/>
  <c r="H29" i="11"/>
  <c r="H28" i="11"/>
  <c r="H27" i="11"/>
  <c r="H26" i="11"/>
  <c r="H25" i="11"/>
  <c r="H24" i="11"/>
  <c r="H23" i="11"/>
  <c r="H22" i="11"/>
  <c r="H20" i="11"/>
  <c r="H19" i="11"/>
  <c r="H17" i="11"/>
  <c r="H16" i="11"/>
  <c r="H15" i="11"/>
  <c r="H14" i="11"/>
  <c r="H10" i="11"/>
  <c r="H9" i="11"/>
  <c r="F32" i="11"/>
  <c r="F31" i="11"/>
  <c r="F30" i="11"/>
  <c r="F29" i="11"/>
  <c r="F28" i="11"/>
  <c r="F26" i="11"/>
  <c r="F25" i="11"/>
  <c r="F24" i="11"/>
  <c r="F23" i="11"/>
  <c r="F22" i="11"/>
  <c r="F21" i="11"/>
  <c r="F18" i="11"/>
  <c r="F17" i="11"/>
  <c r="F16" i="11"/>
  <c r="F14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R6" i="31"/>
  <c r="C6" i="31"/>
  <c r="B6" i="31"/>
  <c r="H2" i="31"/>
  <c r="F2" i="31"/>
  <c r="D2" i="31"/>
  <c r="B2" i="31"/>
  <c r="N41" i="31"/>
  <c r="P39" i="31"/>
  <c r="N39" i="31"/>
  <c r="J39" i="31"/>
  <c r="H39" i="31"/>
  <c r="L36" i="31"/>
  <c r="R36" i="31" s="1"/>
  <c r="L35" i="31"/>
  <c r="R35" i="31" s="1"/>
  <c r="L34" i="31"/>
  <c r="R34" i="31" s="1"/>
  <c r="L33" i="31"/>
  <c r="R33" i="31" s="1"/>
  <c r="L32" i="31"/>
  <c r="R32" i="31" s="1"/>
  <c r="J28" i="11" s="1"/>
  <c r="L31" i="31"/>
  <c r="R31" i="31" s="1"/>
  <c r="F27" i="11" s="1"/>
  <c r="L30" i="31"/>
  <c r="R30" i="31" s="1"/>
  <c r="N26" i="11" s="1"/>
  <c r="L29" i="31"/>
  <c r="R29" i="31" s="1"/>
  <c r="L28" i="31"/>
  <c r="R28" i="31" s="1"/>
  <c r="L27" i="31"/>
  <c r="R27" i="31" s="1"/>
  <c r="J23" i="11" s="1"/>
  <c r="L26" i="31"/>
  <c r="R26" i="31" s="1"/>
  <c r="J22" i="11" s="1"/>
  <c r="L25" i="31"/>
  <c r="R25" i="31" s="1"/>
  <c r="H21" i="11" s="1"/>
  <c r="L24" i="31"/>
  <c r="R24" i="31" s="1"/>
  <c r="F20" i="11" s="1"/>
  <c r="L23" i="31"/>
  <c r="R23" i="31" s="1"/>
  <c r="F19" i="11" s="1"/>
  <c r="L22" i="31"/>
  <c r="R22" i="31" s="1"/>
  <c r="H18" i="11" s="1"/>
  <c r="L21" i="31"/>
  <c r="R21" i="31" s="1"/>
  <c r="P17" i="11" s="1"/>
  <c r="L20" i="31"/>
  <c r="R20" i="31" s="1"/>
  <c r="N16" i="11" s="1"/>
  <c r="L19" i="31"/>
  <c r="R19" i="31" s="1"/>
  <c r="N15" i="11" s="1"/>
  <c r="L18" i="31"/>
  <c r="R18" i="31" s="1"/>
  <c r="L14" i="11" s="1"/>
  <c r="L17" i="31"/>
  <c r="R17" i="31" s="1"/>
  <c r="J13" i="11" s="1"/>
  <c r="L16" i="31"/>
  <c r="R16" i="31" s="1"/>
  <c r="J12" i="11" s="1"/>
  <c r="L15" i="31"/>
  <c r="R15" i="31" s="1"/>
  <c r="H11" i="11" s="1"/>
  <c r="L14" i="31"/>
  <c r="R14" i="31" s="1"/>
  <c r="F10" i="11" s="1"/>
  <c r="L13" i="31"/>
  <c r="R13" i="31" s="1"/>
  <c r="L11" i="31"/>
  <c r="L38" i="30"/>
  <c r="F20" i="30"/>
  <c r="J193" i="29"/>
  <c r="J151" i="29"/>
  <c r="O50" i="17" s="1"/>
  <c r="J140" i="29"/>
  <c r="AE47" i="17" s="1"/>
  <c r="J139" i="29"/>
  <c r="AE46" i="17" s="1"/>
  <c r="J138" i="29"/>
  <c r="AE45" i="17" s="1"/>
  <c r="J136" i="29"/>
  <c r="AE43" i="17" s="1"/>
  <c r="H134" i="29"/>
  <c r="H133" i="29"/>
  <c r="J127" i="29"/>
  <c r="W39" i="17" s="1"/>
  <c r="J126" i="29"/>
  <c r="AE38" i="17" s="1"/>
  <c r="J125" i="29"/>
  <c r="J84" i="29"/>
  <c r="AD28" i="17" s="1"/>
  <c r="J78" i="29"/>
  <c r="AD22" i="17" s="1"/>
  <c r="J76" i="29"/>
  <c r="AD20" i="17" s="1"/>
  <c r="J75" i="29"/>
  <c r="AD19" i="17" s="1"/>
  <c r="J70" i="29"/>
  <c r="AD14" i="17" s="1"/>
  <c r="M36" i="34" s="1"/>
  <c r="J66" i="29"/>
  <c r="X28" i="17" s="1"/>
  <c r="J60" i="29"/>
  <c r="X22" i="17" s="1"/>
  <c r="J58" i="29"/>
  <c r="X20" i="17" s="1"/>
  <c r="J57" i="29"/>
  <c r="X19" i="17" s="1"/>
  <c r="J48" i="29"/>
  <c r="R28" i="17" s="1"/>
  <c r="J43" i="29"/>
  <c r="R23" i="17" s="1"/>
  <c r="J42" i="29"/>
  <c r="R22" i="17" s="1"/>
  <c r="J40" i="29"/>
  <c r="R20" i="17" s="1"/>
  <c r="J39" i="29"/>
  <c r="R19" i="17" s="1"/>
  <c r="J26" i="29"/>
  <c r="L19" i="17" s="1"/>
  <c r="P65" i="29"/>
  <c r="P83" i="29" s="1"/>
  <c r="P73" i="32" l="1"/>
  <c r="H104" i="29"/>
  <c r="J104" i="29" s="1"/>
  <c r="M38" i="17" s="1"/>
  <c r="F12" i="11"/>
  <c r="J10" i="11"/>
  <c r="F15" i="11"/>
  <c r="N12" i="11"/>
  <c r="J116" i="32"/>
  <c r="H56" i="29"/>
  <c r="J56" i="29" s="1"/>
  <c r="X18" i="17" s="1"/>
  <c r="M33" i="34" s="1"/>
  <c r="L116" i="32"/>
  <c r="P116" i="32"/>
  <c r="H108" i="29"/>
  <c r="J108" i="29" s="1"/>
  <c r="H37" i="33"/>
  <c r="H54" i="29"/>
  <c r="J54" i="29" s="1"/>
  <c r="X16" i="17" s="1"/>
  <c r="J88" i="32"/>
  <c r="L12" i="11"/>
  <c r="J14" i="11"/>
  <c r="F13" i="11"/>
  <c r="N13" i="11"/>
  <c r="J11" i="11"/>
  <c r="P133" i="32"/>
  <c r="H109" i="29"/>
  <c r="J109" i="29" s="1"/>
  <c r="M43" i="17" s="1"/>
  <c r="N11" i="11"/>
  <c r="H133" i="32"/>
  <c r="H159" i="32" s="1"/>
  <c r="H56" i="10" s="1"/>
  <c r="H41" i="29"/>
  <c r="J41" i="29" s="1"/>
  <c r="R21" i="17" s="1"/>
  <c r="F39" i="33"/>
  <c r="J128" i="29"/>
  <c r="AE39" i="17" s="1"/>
  <c r="W38" i="17"/>
  <c r="H132" i="29"/>
  <c r="J132" i="29" s="1"/>
  <c r="AE42" i="17" s="1"/>
  <c r="J73" i="32"/>
  <c r="H53" i="29"/>
  <c r="J53" i="29" s="1"/>
  <c r="X15" i="17" s="1"/>
  <c r="J151" i="32"/>
  <c r="J161" i="32" s="1"/>
  <c r="H61" i="29"/>
  <c r="J61" i="29" s="1"/>
  <c r="X23" i="17" s="1"/>
  <c r="N14" i="11"/>
  <c r="H13" i="11"/>
  <c r="H12" i="11"/>
  <c r="F11" i="11"/>
  <c r="L151" i="32"/>
  <c r="L161" i="32" s="1"/>
  <c r="L57" i="10" s="1"/>
  <c r="H79" i="29"/>
  <c r="J79" i="29" s="1"/>
  <c r="AD23" i="17" s="1"/>
  <c r="N133" i="32"/>
  <c r="H100" i="29"/>
  <c r="J100" i="29" s="1"/>
  <c r="M35" i="17" s="1"/>
  <c r="AD34" i="34" s="1"/>
  <c r="N73" i="32"/>
  <c r="H98" i="29"/>
  <c r="J98" i="29" s="1"/>
  <c r="M33" i="17" s="1"/>
  <c r="P106" i="32"/>
  <c r="H107" i="29"/>
  <c r="J107" i="29" s="1"/>
  <c r="J120" i="29" s="1"/>
  <c r="AE34" i="17" s="1"/>
  <c r="P98" i="32"/>
  <c r="H106" i="29"/>
  <c r="J106" i="29" s="1"/>
  <c r="L88" i="32"/>
  <c r="H72" i="29"/>
  <c r="J72" i="29" s="1"/>
  <c r="AD16" i="17" s="1"/>
  <c r="L73" i="32"/>
  <c r="H71" i="29"/>
  <c r="J71" i="29" s="1"/>
  <c r="AD15" i="17" s="1"/>
  <c r="H73" i="32"/>
  <c r="H36" i="29"/>
  <c r="J36" i="29" s="1"/>
  <c r="R15" i="17" s="1"/>
  <c r="P52" i="32"/>
  <c r="H103" i="29"/>
  <c r="J103" i="29" s="1"/>
  <c r="M37" i="17" s="1"/>
  <c r="H88" i="32"/>
  <c r="H37" i="29"/>
  <c r="J37" i="29" s="1"/>
  <c r="R16" i="17" s="1"/>
  <c r="F151" i="32"/>
  <c r="H30" i="29"/>
  <c r="F73" i="32"/>
  <c r="H24" i="29"/>
  <c r="J24" i="29" s="1"/>
  <c r="L15" i="17" s="1"/>
  <c r="J52" i="32"/>
  <c r="H52" i="29"/>
  <c r="J52" i="29" s="1"/>
  <c r="X13" i="17" s="1"/>
  <c r="M29" i="34" s="1"/>
  <c r="L52" i="32"/>
  <c r="H69" i="29"/>
  <c r="J69" i="29" s="1"/>
  <c r="AD13" i="17" s="1"/>
  <c r="M30" i="34" s="1"/>
  <c r="N52" i="32"/>
  <c r="H97" i="29"/>
  <c r="J97" i="29" s="1"/>
  <c r="I206" i="29"/>
  <c r="H52" i="32"/>
  <c r="H35" i="29"/>
  <c r="F52" i="32"/>
  <c r="H23" i="29"/>
  <c r="J29" i="29"/>
  <c r="L22" i="17" s="1"/>
  <c r="P90" i="32"/>
  <c r="L39" i="31"/>
  <c r="R39" i="31"/>
  <c r="F9" i="11"/>
  <c r="H44" i="29"/>
  <c r="J44" i="29" s="1"/>
  <c r="R24" i="17" s="1"/>
  <c r="H59" i="29"/>
  <c r="J59" i="29" s="1"/>
  <c r="X21" i="17" s="1"/>
  <c r="H77" i="29"/>
  <c r="J77" i="29" s="1"/>
  <c r="AD21" i="17" s="1"/>
  <c r="J57" i="10" l="1"/>
  <c r="J163" i="32"/>
  <c r="M42" i="34"/>
  <c r="J122" i="29"/>
  <c r="AE36" i="17" s="1"/>
  <c r="M42" i="17"/>
  <c r="H39" i="33"/>
  <c r="P41" i="33"/>
  <c r="T82" i="29"/>
  <c r="L163" i="32"/>
  <c r="F161" i="32"/>
  <c r="F57" i="10" s="1"/>
  <c r="H55" i="29"/>
  <c r="J55" i="29" s="1"/>
  <c r="X17" i="17" s="1"/>
  <c r="P211" i="32"/>
  <c r="N90" i="32"/>
  <c r="N209" i="32" s="1"/>
  <c r="J90" i="32"/>
  <c r="J157" i="32" s="1"/>
  <c r="J166" i="32" s="1"/>
  <c r="H163" i="32"/>
  <c r="H162" i="32" s="1"/>
  <c r="F90" i="32"/>
  <c r="H179" i="32"/>
  <c r="H38" i="29"/>
  <c r="J38" i="29" s="1"/>
  <c r="R17" i="17" s="1"/>
  <c r="H80" i="29"/>
  <c r="J80" i="29" s="1"/>
  <c r="AD24" i="17" s="1"/>
  <c r="H62" i="29"/>
  <c r="J62" i="29" s="1"/>
  <c r="X24" i="17" s="1"/>
  <c r="J175" i="32"/>
  <c r="H63" i="29" s="1"/>
  <c r="J55" i="10"/>
  <c r="H168" i="29"/>
  <c r="L90" i="32"/>
  <c r="L157" i="32" s="1"/>
  <c r="L166" i="32" s="1"/>
  <c r="L179" i="32"/>
  <c r="H99" i="29"/>
  <c r="H101" i="29" s="1"/>
  <c r="L175" i="32"/>
  <c r="H81" i="29" s="1"/>
  <c r="M41" i="17"/>
  <c r="M40" i="17"/>
  <c r="T83" i="29"/>
  <c r="J179" i="32"/>
  <c r="H105" i="29"/>
  <c r="J105" i="29" s="1"/>
  <c r="H73" i="29"/>
  <c r="J73" i="29" s="1"/>
  <c r="AD17" i="17" s="1"/>
  <c r="H31" i="29"/>
  <c r="J31" i="29" s="1"/>
  <c r="L24" i="17" s="1"/>
  <c r="J30" i="29"/>
  <c r="L23" i="17" s="1"/>
  <c r="H83" i="29"/>
  <c r="J83" i="29" s="1"/>
  <c r="AD27" i="17" s="1"/>
  <c r="J99" i="29"/>
  <c r="M32" i="17"/>
  <c r="M31" i="34" s="1"/>
  <c r="L43" i="31"/>
  <c r="F38" i="10"/>
  <c r="H90" i="32"/>
  <c r="H157" i="32" s="1"/>
  <c r="H166" i="32" s="1"/>
  <c r="J35" i="29"/>
  <c r="J157" i="29" s="1"/>
  <c r="H157" i="29" s="1"/>
  <c r="Y51" i="17" s="1"/>
  <c r="H47" i="29"/>
  <c r="J47" i="29" s="1"/>
  <c r="R27" i="17" s="1"/>
  <c r="H25" i="29"/>
  <c r="J23" i="29"/>
  <c r="L55" i="10" l="1"/>
  <c r="L162" i="32"/>
  <c r="J162" i="32"/>
  <c r="J160" i="32"/>
  <c r="L160" i="32"/>
  <c r="M44" i="34"/>
  <c r="P161" i="32"/>
  <c r="M32" i="34"/>
  <c r="F127" i="32"/>
  <c r="F131" i="32" s="1"/>
  <c r="H160" i="32"/>
  <c r="H175" i="32"/>
  <c r="H45" i="29" s="1"/>
  <c r="H55" i="10"/>
  <c r="F157" i="32"/>
  <c r="F166" i="32" s="1"/>
  <c r="R13" i="17"/>
  <c r="M28" i="34" s="1"/>
  <c r="T88" i="29"/>
  <c r="T87" i="29"/>
  <c r="J60" i="10"/>
  <c r="J177" i="32"/>
  <c r="J183" i="32" s="1"/>
  <c r="L60" i="10"/>
  <c r="L177" i="32"/>
  <c r="L183" i="32" s="1"/>
  <c r="T64" i="29"/>
  <c r="T65" i="29" s="1"/>
  <c r="M39" i="17"/>
  <c r="AD30" i="34" s="1"/>
  <c r="M34" i="17"/>
  <c r="J101" i="29"/>
  <c r="J25" i="29"/>
  <c r="L17" i="17" s="1"/>
  <c r="L13" i="17"/>
  <c r="M27" i="34" s="1"/>
  <c r="H27" i="29" l="1"/>
  <c r="F133" i="32"/>
  <c r="F159" i="32" s="1"/>
  <c r="H60" i="10"/>
  <c r="H177" i="32"/>
  <c r="H183" i="32" s="1"/>
  <c r="P157" i="32"/>
  <c r="P166" i="32" s="1"/>
  <c r="T89" i="29"/>
  <c r="T71" i="29"/>
  <c r="T72" i="29"/>
  <c r="T69" i="29"/>
  <c r="T70" i="29"/>
  <c r="T16" i="29"/>
  <c r="M36" i="17"/>
  <c r="AD31" i="34" s="1"/>
  <c r="F56" i="10" l="1"/>
  <c r="F163" i="32"/>
  <c r="P159" i="32"/>
  <c r="H28" i="29"/>
  <c r="J28" i="29" s="1"/>
  <c r="J27" i="29"/>
  <c r="L20" i="17" s="1"/>
  <c r="T73" i="29"/>
  <c r="H169" i="29" l="1"/>
  <c r="L21" i="17"/>
  <c r="AD32" i="34" s="1"/>
  <c r="F55" i="10"/>
  <c r="F162" i="32"/>
  <c r="F175" i="32"/>
  <c r="F160" i="32"/>
  <c r="P163" i="32"/>
  <c r="J121" i="29"/>
  <c r="AE35" i="17" s="1"/>
  <c r="H54" i="26"/>
  <c r="H55" i="26" l="1"/>
  <c r="P160" i="32"/>
  <c r="P162" i="32"/>
  <c r="F187" i="32"/>
  <c r="F183" i="32"/>
  <c r="F185" i="32" s="1"/>
  <c r="F60" i="10"/>
  <c r="H32" i="29"/>
  <c r="H33" i="29" s="1"/>
  <c r="P175" i="32"/>
  <c r="H56" i="26" l="1"/>
  <c r="J87" i="29"/>
  <c r="G30" i="17" s="1"/>
  <c r="F189" i="32"/>
  <c r="P176" i="32"/>
  <c r="J88" i="29"/>
  <c r="O30" i="17" s="1"/>
  <c r="N60" i="10"/>
  <c r="H57" i="26" l="1"/>
  <c r="H189" i="32"/>
  <c r="H58" i="26" l="1"/>
  <c r="H59" i="26"/>
  <c r="H60" i="26" l="1"/>
  <c r="H61" i="26" l="1"/>
  <c r="H62" i="26" l="1"/>
  <c r="H63" i="26" l="1"/>
  <c r="H64" i="26" l="1"/>
  <c r="H65" i="26" l="1"/>
  <c r="H66" i="26" s="1"/>
  <c r="H67" i="26" s="1"/>
  <c r="H68" i="26" s="1"/>
  <c r="H69" i="26" s="1"/>
  <c r="H70" i="26" s="1"/>
  <c r="H71" i="26" s="1"/>
  <c r="H72" i="26" s="1"/>
  <c r="H73" i="26" s="1"/>
  <c r="H74" i="26" s="1"/>
  <c r="H75" i="26" s="1"/>
  <c r="H76" i="26" s="1"/>
  <c r="H77" i="26" s="1"/>
  <c r="H78" i="26" s="1"/>
  <c r="H79" i="26" s="1"/>
  <c r="H80" i="26" s="1"/>
  <c r="H81" i="26" s="1"/>
  <c r="H82" i="26" s="1"/>
  <c r="H83" i="26" s="1"/>
  <c r="H84" i="26" s="1"/>
  <c r="H85" i="26" s="1"/>
  <c r="H86" i="26" s="1"/>
  <c r="H87" i="26" s="1"/>
  <c r="H88" i="26" s="1"/>
  <c r="H89" i="26" s="1"/>
  <c r="H90" i="26" s="1"/>
  <c r="H91" i="26" s="1"/>
  <c r="H92" i="26" s="1"/>
  <c r="H93" i="26" s="1"/>
  <c r="H94" i="26" s="1"/>
  <c r="H95" i="26" s="1"/>
  <c r="H96" i="26" s="1"/>
  <c r="H97" i="26" s="1"/>
  <c r="H98" i="26" s="1"/>
  <c r="H99" i="26" s="1"/>
  <c r="H100" i="26" s="1"/>
  <c r="H101" i="26" s="1"/>
  <c r="H102" i="26" s="1"/>
  <c r="H103" i="26" s="1"/>
  <c r="H104" i="26" s="1"/>
  <c r="H105" i="26" s="1"/>
  <c r="H106" i="26" s="1"/>
  <c r="H107" i="26" s="1"/>
  <c r="H108" i="26" s="1"/>
  <c r="H109" i="26" s="1"/>
  <c r="H110" i="26" s="1"/>
  <c r="H111" i="26" s="1"/>
  <c r="H112" i="26" s="1"/>
  <c r="H113" i="26" s="1"/>
  <c r="H114" i="26" s="1"/>
  <c r="H115" i="26" s="1"/>
  <c r="H116" i="26" s="1"/>
  <c r="H117" i="26" s="1"/>
  <c r="H118" i="26" s="1"/>
  <c r="H119" i="26" s="1"/>
  <c r="H120" i="26" s="1"/>
  <c r="H121" i="26" s="1"/>
  <c r="Y24" i="26" l="1"/>
  <c r="Y20" i="26"/>
  <c r="V20" i="26"/>
  <c r="Y19" i="26"/>
  <c r="X16" i="26"/>
  <c r="Y26" i="26"/>
  <c r="X24" i="26"/>
  <c r="W23" i="26"/>
  <c r="V24" i="26"/>
  <c r="X25" i="26"/>
  <c r="V25" i="26"/>
  <c r="Y23" i="26"/>
  <c r="V16" i="26"/>
  <c r="W21" i="26"/>
  <c r="X20" i="26"/>
  <c r="W20" i="26"/>
  <c r="W17" i="26"/>
  <c r="Y16" i="26"/>
  <c r="V26" i="26"/>
  <c r="X19" i="26"/>
  <c r="V19" i="26"/>
  <c r="V29" i="26"/>
  <c r="X28" i="26"/>
  <c r="Y29" i="26"/>
  <c r="AC29" i="26" s="1"/>
  <c r="X26" i="26"/>
  <c r="W25" i="26"/>
  <c r="X17" i="26"/>
  <c r="X22" i="26"/>
  <c r="V28" i="26"/>
  <c r="W29" i="26"/>
  <c r="V27" i="26"/>
  <c r="Y27" i="26"/>
  <c r="W27" i="26"/>
  <c r="Y28" i="26"/>
  <c r="W19" i="26"/>
  <c r="V18" i="26"/>
  <c r="W24" i="26"/>
  <c r="V21" i="26"/>
  <c r="X29" i="26"/>
  <c r="W22" i="26"/>
  <c r="W18" i="26"/>
  <c r="Y17" i="26"/>
  <c r="AC17" i="26" s="1"/>
  <c r="V17" i="26"/>
  <c r="Y25" i="26"/>
  <c r="AC25" i="26" s="1"/>
  <c r="X23" i="26"/>
  <c r="X21" i="26"/>
  <c r="W26" i="26"/>
  <c r="X27" i="26"/>
  <c r="W28" i="26"/>
  <c r="X18" i="26"/>
  <c r="W16" i="26"/>
  <c r="V22" i="26"/>
  <c r="V23" i="26"/>
  <c r="Y21" i="26"/>
  <c r="Y18" i="26"/>
  <c r="Y22" i="26"/>
  <c r="AC26" i="26"/>
  <c r="AC23" i="26"/>
  <c r="AC18" i="26"/>
  <c r="AC22" i="26"/>
  <c r="AC20" i="26"/>
  <c r="AC15" i="26"/>
  <c r="AE15" i="26" s="1"/>
  <c r="AC27" i="26"/>
  <c r="AC28" i="26"/>
  <c r="AC16" i="26"/>
  <c r="AC21" i="26"/>
  <c r="AC19" i="26"/>
  <c r="AC24" i="26"/>
  <c r="J38" i="10" l="1"/>
  <c r="J163" i="29" s="1"/>
  <c r="E7" i="22" l="1"/>
  <c r="N52" i="10" l="1"/>
  <c r="C12" i="24" l="1"/>
  <c r="C13" i="24" s="1"/>
  <c r="J45" i="29" l="1"/>
  <c r="R25" i="17" s="1"/>
  <c r="H46" i="29"/>
  <c r="J46" i="29" l="1"/>
  <c r="R26" i="17" s="1"/>
  <c r="H49" i="29"/>
  <c r="J49" i="29" s="1"/>
  <c r="R29" i="17" s="1"/>
  <c r="J63" i="29" l="1"/>
  <c r="X25" i="17" s="1"/>
  <c r="H65" i="29"/>
  <c r="J65" i="29" s="1"/>
  <c r="X27" i="17" s="1"/>
  <c r="H64" i="29"/>
  <c r="H67" i="29" l="1"/>
  <c r="J67" i="29" s="1"/>
  <c r="X29" i="17" s="1"/>
  <c r="J64" i="29"/>
  <c r="X26" i="17" s="1"/>
  <c r="L45" i="11" l="1"/>
  <c r="H18" i="29" s="1"/>
  <c r="L58" i="10" l="1"/>
  <c r="L59" i="10"/>
  <c r="J59" i="10"/>
  <c r="J58" i="10"/>
  <c r="H58" i="10"/>
  <c r="H59" i="10"/>
  <c r="J61" i="10" l="1"/>
  <c r="H61" i="10"/>
  <c r="J81" i="29" l="1"/>
  <c r="AD25" i="17" s="1"/>
  <c r="H82" i="29"/>
  <c r="L61" i="10"/>
  <c r="H85" i="29" l="1"/>
  <c r="J85" i="29" s="1"/>
  <c r="AD29" i="17" s="1"/>
  <c r="J82" i="29"/>
  <c r="AD26" i="17" s="1"/>
  <c r="J32" i="29" l="1"/>
  <c r="L25" i="17" s="1"/>
  <c r="J33" i="29"/>
  <c r="L29" i="17" s="1"/>
  <c r="AD28" i="34" s="1"/>
  <c r="F58" i="10"/>
  <c r="F59" i="10"/>
  <c r="J89" i="29" l="1"/>
  <c r="W30" i="17" s="1"/>
  <c r="F61" i="10"/>
  <c r="N61" i="10" s="1"/>
  <c r="L27" i="10"/>
  <c r="L31" i="10" s="1"/>
  <c r="P50" i="11" l="1"/>
  <c r="H27" i="10"/>
  <c r="F200" i="32" s="1"/>
  <c r="R27" i="10"/>
  <c r="H112" i="29" s="1"/>
  <c r="J112" i="29" s="1"/>
  <c r="M46" i="17" s="1"/>
  <c r="M43" i="34" s="1"/>
  <c r="T27" i="10"/>
  <c r="H113" i="29" s="1"/>
  <c r="J113" i="29" s="1"/>
  <c r="J27" i="10"/>
  <c r="H111" i="29" s="1"/>
  <c r="F34" i="11"/>
  <c r="H12" i="29" s="1"/>
  <c r="H34" i="11"/>
  <c r="H13" i="29" s="1"/>
  <c r="N34" i="11"/>
  <c r="H16" i="29" s="1"/>
  <c r="P34" i="11"/>
  <c r="H17" i="29" s="1"/>
  <c r="F80" i="11"/>
  <c r="L31" i="7"/>
  <c r="J31" i="7"/>
  <c r="F31" i="7"/>
  <c r="H31" i="7"/>
  <c r="J34" i="11"/>
  <c r="H14" i="29" s="1"/>
  <c r="L34" i="11"/>
  <c r="H15" i="29" s="1"/>
  <c r="C50" i="11"/>
  <c r="B50" i="11"/>
  <c r="H48" i="11"/>
  <c r="F48" i="11"/>
  <c r="D48" i="11"/>
  <c r="B48" i="11"/>
  <c r="F48" i="10"/>
  <c r="F27" i="10"/>
  <c r="F199" i="32" s="1"/>
  <c r="F204" i="32" s="1"/>
  <c r="F205" i="32" s="1"/>
  <c r="J92" i="29" l="1"/>
  <c r="O31" i="17" s="1"/>
  <c r="M38" i="34" s="1"/>
  <c r="F207" i="32"/>
  <c r="J93" i="29" s="1"/>
  <c r="W31" i="17" s="1"/>
  <c r="M47" i="17"/>
  <c r="H171" i="29"/>
  <c r="H114" i="29"/>
  <c r="J114" i="29" s="1"/>
  <c r="J111" i="29"/>
  <c r="M45" i="17" s="1"/>
  <c r="H20" i="29"/>
  <c r="P41" i="31"/>
  <c r="R41" i="31" s="1"/>
  <c r="R43" i="31" s="1"/>
  <c r="H19" i="29"/>
  <c r="H31" i="10"/>
  <c r="L37" i="7"/>
  <c r="L33" i="7"/>
  <c r="J37" i="7"/>
  <c r="J33" i="7"/>
  <c r="F84" i="11"/>
  <c r="P38" i="11"/>
  <c r="N38" i="11"/>
  <c r="H38" i="11"/>
  <c r="T31" i="10"/>
  <c r="AD33" i="34" s="1"/>
  <c r="R31" i="10"/>
  <c r="J31" i="10"/>
  <c r="M34" i="34" s="1"/>
  <c r="M35" i="34" s="1"/>
  <c r="L38" i="10"/>
  <c r="J44" i="10" s="1"/>
  <c r="H44" i="10" s="1"/>
  <c r="F37" i="7"/>
  <c r="F39" i="7"/>
  <c r="J38" i="11"/>
  <c r="V27" i="10"/>
  <c r="F38" i="11"/>
  <c r="P45" i="11"/>
  <c r="N46" i="11" s="1"/>
  <c r="L38" i="11"/>
  <c r="J14" i="29" l="1"/>
  <c r="L15" i="34"/>
  <c r="J16" i="29"/>
  <c r="L16" i="34"/>
  <c r="J17" i="29"/>
  <c r="L17" i="34"/>
  <c r="J20" i="29"/>
  <c r="V11" i="17" s="1"/>
  <c r="AD9" i="34"/>
  <c r="AD13" i="34" s="1"/>
  <c r="J15" i="29"/>
  <c r="L11" i="34"/>
  <c r="J13" i="29"/>
  <c r="L10" i="34"/>
  <c r="J12" i="29"/>
  <c r="J19" i="29" s="1"/>
  <c r="L9" i="34"/>
  <c r="L12" i="34" s="1"/>
  <c r="I133" i="29"/>
  <c r="M48" i="17"/>
  <c r="AD29" i="34" s="1"/>
  <c r="N12" i="33"/>
  <c r="N33" i="33" s="1"/>
  <c r="H21" i="29"/>
  <c r="H170" i="29"/>
  <c r="J45" i="10"/>
  <c r="H45" i="10" s="1"/>
  <c r="J46" i="10"/>
  <c r="H46" i="10" s="1"/>
  <c r="J42" i="10"/>
  <c r="H42" i="10" s="1"/>
  <c r="J43" i="10"/>
  <c r="H43" i="10" s="1"/>
  <c r="V31" i="10"/>
  <c r="M39" i="34" s="1"/>
  <c r="M45" i="34" s="1"/>
  <c r="L39" i="7"/>
  <c r="P40" i="11"/>
  <c r="P77" i="11" s="1"/>
  <c r="AD18" i="34" s="1"/>
  <c r="L18" i="34" l="1"/>
  <c r="L20" i="34" s="1"/>
  <c r="AD20" i="34"/>
  <c r="J21" i="29"/>
  <c r="M11" i="17"/>
  <c r="J48" i="10"/>
  <c r="J50" i="10" s="1"/>
  <c r="L52" i="10" s="1"/>
  <c r="H48" i="10"/>
  <c r="J178" i="29" l="1"/>
  <c r="AE11" i="17"/>
  <c r="T15" i="29"/>
  <c r="H167" i="29"/>
  <c r="H174" i="29" s="1"/>
  <c r="P52" i="10"/>
  <c r="T52" i="10" s="1"/>
  <c r="T60" i="10" s="1"/>
  <c r="J95" i="29" s="1"/>
  <c r="J110" i="29" s="1"/>
  <c r="M44" i="17" l="1"/>
  <c r="T17" i="29"/>
  <c r="AE31" i="17"/>
  <c r="P71" i="11" l="1"/>
  <c r="P73" i="11" s="1"/>
  <c r="T18" i="29" l="1"/>
  <c r="T19" i="29" s="1"/>
  <c r="T20" i="29" s="1"/>
  <c r="T25" i="29" l="1"/>
  <c r="T31" i="29"/>
  <c r="T30" i="29"/>
  <c r="T29" i="29"/>
  <c r="T28" i="29"/>
  <c r="T27" i="29"/>
  <c r="T26" i="29"/>
  <c r="T32" i="29" l="1"/>
  <c r="J119" i="29" l="1"/>
  <c r="AE33" i="17" s="1"/>
  <c r="J118" i="29"/>
  <c r="AE32" i="17" s="1"/>
  <c r="J123" i="29" l="1"/>
  <c r="AE37" i="17" s="1"/>
  <c r="J130" i="29" l="1"/>
  <c r="AE41" i="17" s="1"/>
  <c r="F144" i="29" l="1"/>
  <c r="F145" i="29" s="1"/>
  <c r="F146" i="29" s="1"/>
  <c r="H142" i="29" s="1"/>
  <c r="J142" i="29" s="1"/>
  <c r="AE48" i="17" s="1"/>
  <c r="J137" i="29"/>
  <c r="J172" i="29"/>
  <c r="J174" i="29" s="1"/>
  <c r="J176" i="29" s="1"/>
  <c r="J180" i="29" s="1"/>
  <c r="AE44" i="17" l="1"/>
  <c r="M46" i="34"/>
  <c r="G198" i="29"/>
  <c r="G199" i="29" s="1"/>
  <c r="G200" i="29" s="1"/>
  <c r="H202" i="29" s="1"/>
  <c r="J150" i="29"/>
  <c r="G50" i="17" s="1"/>
  <c r="J153" i="29"/>
  <c r="AE50" i="17" s="1"/>
  <c r="J152" i="29"/>
  <c r="W50" i="17" s="1"/>
  <c r="M47" i="34" l="1"/>
  <c r="AD17" i="34" s="1"/>
  <c r="AD16" i="34" s="1"/>
  <c r="AD35" i="34"/>
  <c r="AD36" i="34" s="1"/>
  <c r="H201" i="29"/>
  <c r="AD38" i="34" l="1"/>
</calcChain>
</file>

<file path=xl/comments1.xml><?xml version="1.0" encoding="utf-8"?>
<comments xmlns="http://schemas.openxmlformats.org/spreadsheetml/2006/main">
  <authors>
    <author>OCT Empresarial</author>
    <author>Omar de J</author>
    <author>user</author>
    <author>juan</author>
  </authors>
  <commentList>
    <comment ref="E20" authorId="0" shapeId="0">
      <text>
        <r>
          <rPr>
            <b/>
            <sz val="9"/>
            <color indexed="30"/>
            <rFont val="Calibri"/>
            <family val="2"/>
            <scheme val="minor"/>
          </rPr>
          <t>Escriba el codigo correspondiente a la actividad generadora de la mayor renta. Debe este codigo estar identificado en el RUT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3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No puede exceder de 240 UVT ($ 11.295.600) y no deben incluirse como costo o gasto y ser pagadas por medio electrrónico.</t>
        </r>
      </text>
    </comment>
    <comment ref="B38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Requiere la firma de contador si está obligado a llevar libros de contabilidad y si  patrimonio bruto a Dic 31 o los ingresos brutos del año  sean superiores a 100.000 UVT</t>
        </r>
      </text>
    </comment>
    <comment ref="D51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52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53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60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61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62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69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70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71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78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79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D80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Agregue 2 espacios en blanco despues de escribir el nombre, para que quede separado en el borrador</t>
        </r>
      </text>
    </comment>
    <comment ref="L88" authorId="3" shapeId="0">
      <text>
        <r>
          <rPr>
            <b/>
            <i/>
            <sz val="9"/>
            <color indexed="12"/>
            <rFont val="Tahoma"/>
            <family val="2"/>
          </rPr>
          <t>OK. Me entendió.</t>
        </r>
      </text>
    </comment>
  </commentList>
</comments>
</file>

<file path=xl/comments2.xml><?xml version="1.0" encoding="utf-8"?>
<comments xmlns="http://schemas.openxmlformats.org/spreadsheetml/2006/main">
  <authors>
    <author>Omar de J</author>
    <author>Oficina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48"/>
            <rFont val="Tahoma"/>
            <family val="2"/>
          </rPr>
          <t>El anexo de Activos toma los datos y los distribuye de la Hoja de Patrimonio Bruto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Los contribuyentes no obligados a llevar contabilidad solo podrán solicitar pasivos respaldados por documentos de fecha cierta.</t>
        </r>
      </text>
    </comment>
    <comment ref="N80" authorId="1" shapeId="0">
      <text>
        <r>
          <rPr>
            <b/>
            <i/>
            <sz val="9"/>
            <color indexed="12"/>
            <rFont val="Arial Narrow"/>
            <family val="2"/>
          </rPr>
          <t>El campo de patrimonio es para que Ud lo conforme de acuerdo al dato fiscal. Asi su cliente podra elaborar un Balance para los Bancos o Terceros que lo requieran</t>
        </r>
      </text>
    </comment>
  </commentList>
</comments>
</file>

<file path=xl/comments3.xml><?xml version="1.0" encoding="utf-8"?>
<comments xmlns="http://schemas.openxmlformats.org/spreadsheetml/2006/main">
  <authors>
    <author>Toshiba</author>
    <author>Omar de J</author>
    <author>OCT</author>
    <author>user</author>
    <author>INTEL</author>
  </authors>
  <commentList>
    <comment ref="F14" authorId="0" shapeId="0">
      <text>
        <r>
          <rPr>
            <b/>
            <i/>
            <sz val="8"/>
            <color indexed="48"/>
            <rFont val="Arial"/>
            <family val="2"/>
          </rPr>
          <t>Registre el valor de las cesantias recibidas directamente de su empleador + las consignadas en el fondo de cesantías.</t>
        </r>
      </text>
    </comment>
    <comment ref="B61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No puede seuperar el 25% del ingreso laboral o tributario anual limitado a 2500 UVT ($ 117.662.500)
</t>
        </r>
      </text>
    </comment>
    <comment ref="F6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Que no exceda el  25% de los ingresos laborales o tributarios anuales, limitado a 2500 UVT = $ 124,497.500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Que no exceda el  25% de los ingresos laborales o tributarios anuales, limitado a 2500 UVT = $ 124,497.500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Que no exceda el  25% de los ingresos laborales o tributarios anuales, limitado a 2500 UVT = $ 124,497.500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Que no exceda el  25% de los ingresos laborales o tributarios anuales, limitado a 2500 UVT = $ 124,497.500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6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Que no exceda el  25% de los ingresos laborales o tributarios anuales, limitado a 2500 UVT = $ 124,497.500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5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Tahoma"/>
            <family val="2"/>
          </rPr>
          <t>Solo para trabajadores cuyo salario no exceda los 310 UVT = $ 15,438.000 mensuales y limitado el beneficio a  41 UVT = $ 2,042.000 mes</t>
        </r>
      </text>
    </comment>
    <comment ref="F66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NOLC = No Obligado a Llevar Contabilidad.</t>
        </r>
      </text>
    </comment>
    <comment ref="F12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No debe exceder del 30% casilla 32, ni ser mayores a 3800 UVT = $ 189,236.000</t>
        </r>
      </text>
    </comment>
    <comment ref="H12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No debe exceder del 30% casilla 43, ni ser mayores a 3800 UVT = $ 189,236.000</t>
        </r>
      </text>
    </comment>
    <comment ref="J12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No debe exceder del 30% casilla 58 ni ser mayores a 3800 UVT = $ 189,236.000</t>
        </r>
      </text>
    </comment>
    <comment ref="L12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No debe exceder del 30% casilla 74, ni ser mayores a 3800 UVT = $ 189,236.000</t>
        </r>
      </text>
    </comment>
    <comment ref="F125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100% para trabajadores con ingreso mensual promedio ultimos 6 meses hasta de 350 UVT = $ 17,430,000
Superior ver tabla
</t>
        </r>
      </text>
    </comment>
    <comment ref="F127" authorId="1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Recuerde que este cálculo no debe superar los 790 UVT ($ 39,341.000). Ajuste el exceso en la siguiente casilla con valor negativo.
</t>
        </r>
      </text>
    </comment>
    <comment ref="N128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30"/>
            <rFont val="Tahoma"/>
            <family val="2"/>
          </rPr>
          <t>Limitada a 1000 uvt mensuales =$ 49.799,000 Ingreso neto de pensión.</t>
        </r>
      </text>
    </comment>
    <comment ref="F136" authorId="2" shapeId="0">
      <text>
        <r>
          <rPr>
            <b/>
            <sz val="9"/>
            <color indexed="81"/>
            <rFont val="Tahoma"/>
            <family val="2"/>
          </rPr>
          <t xml:space="preserve">OCT:
</t>
        </r>
        <r>
          <rPr>
            <b/>
            <i/>
            <sz val="8"/>
            <color indexed="48"/>
            <rFont val="Arial"/>
            <family val="2"/>
          </rPr>
          <t xml:space="preserve">No puede exceder de 1200 UVT = $ 59,759.000 ANUAL
</t>
        </r>
      </text>
    </comment>
    <comment ref="H136" authorId="2" shapeId="0">
      <text>
        <r>
          <rPr>
            <b/>
            <sz val="9"/>
            <color indexed="81"/>
            <rFont val="Tahoma"/>
            <family val="2"/>
          </rPr>
          <t xml:space="preserve">OCT:
</t>
        </r>
        <r>
          <rPr>
            <b/>
            <i/>
            <sz val="8"/>
            <color indexed="48"/>
            <rFont val="Arial"/>
            <family val="2"/>
          </rPr>
          <t xml:space="preserve">No puede exceder de 1200 UVT = $ 59,759.000 ANUAL
</t>
        </r>
      </text>
    </comment>
    <comment ref="J136" authorId="2" shapeId="0">
      <text>
        <r>
          <rPr>
            <b/>
            <sz val="9"/>
            <color indexed="81"/>
            <rFont val="Tahoma"/>
            <family val="2"/>
          </rPr>
          <t xml:space="preserve">OCT:
</t>
        </r>
        <r>
          <rPr>
            <b/>
            <i/>
            <sz val="8"/>
            <color indexed="48"/>
            <rFont val="Arial"/>
            <family val="2"/>
          </rPr>
          <t xml:space="preserve">No puede exceder de 1200 UVT = $ 59,759.000 ANUAL
</t>
        </r>
      </text>
    </comment>
    <comment ref="L136" authorId="2" shapeId="0">
      <text>
        <r>
          <rPr>
            <b/>
            <sz val="9"/>
            <color indexed="81"/>
            <rFont val="Tahoma"/>
            <family val="2"/>
          </rPr>
          <t xml:space="preserve">OCT:
</t>
        </r>
        <r>
          <rPr>
            <b/>
            <i/>
            <sz val="8"/>
            <color indexed="48"/>
            <rFont val="Arial"/>
            <family val="2"/>
          </rPr>
          <t xml:space="preserve">No puede exceder de 1200 UVT = $ 59,759.000 ANUAL
</t>
        </r>
      </text>
    </comment>
    <comment ref="F137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Deducibles hasta la suma de 2500 UVT = $ 124,498.000 y que no exceda 1/12 ingreso.</t>
        </r>
      </text>
    </comment>
    <comment ref="H137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Deducibles hasta la suma de 2500 UVT = $ 124,498.000 y que no exceda 1/12 ingreso.</t>
        </r>
      </text>
    </comment>
    <comment ref="J137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Deducibles hasta la suma de 2500 UVT = $ 124,498.000 y que no exceda 1/12 ingreso.</t>
        </r>
      </text>
    </comment>
    <comment ref="L137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Deducibles hasta la suma de 2500 UVT = $ 124,498.000 y que no exceda 1/12 ingreso.</t>
        </r>
      </text>
    </comment>
    <comment ref="F138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Deducibles hasta la suma de 16 UVT mensuales = $ 797,000 ($ 9.564.000 x año).</t>
        </r>
      </text>
    </comment>
    <comment ref="H138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Deducibles hasta la suma de 16 UVT mensuales = $ 797,000 ($ 9.564.000 x año).</t>
        </r>
      </text>
    </comment>
    <comment ref="F139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10% del Ingreso sin exceder de 32 UVT mensual = $ 1.594,000
Anual = $ 19,128.000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9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10% del Ingreso sin exceder de 32 UVT mensual = $ 1.594,000
Anual = $ 19,128.000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0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50% del vr pagado en el año debidamente certificado por el Banco.</t>
        </r>
      </text>
    </comment>
    <comment ref="H140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50% del vr pagado en el año debidamente certificado por el Banco.</t>
        </r>
      </text>
    </comment>
    <comment ref="J140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50% del vr pagado en el año debidamente certificado por el Banco.</t>
        </r>
      </text>
    </comment>
    <comment ref="L140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50% del vr pagado en el año debidamente certificado por el Banco.</t>
        </r>
      </text>
    </comment>
    <comment ref="F14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 xml:space="preserve">Hasta 100 UVT anuales = $ 4.980.000
</t>
        </r>
      </text>
    </comment>
    <comment ref="H14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 xml:space="preserve">Hasta 100 UVT anuales = $ 4.980.000
</t>
        </r>
      </text>
    </comment>
    <comment ref="J14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 xml:space="preserve">Hasta 100 UVT anuales = $ 4.980.000
</t>
        </r>
      </text>
    </comment>
    <comment ref="L141" authorId="2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 xml:space="preserve">Hasta 100 UVT anuales = $ 4.980.000
</t>
        </r>
      </text>
    </comment>
    <comment ref="F167" authorId="4" shapeId="0">
      <text>
        <r>
          <rPr>
            <b/>
            <i/>
            <sz val="8"/>
            <color indexed="48"/>
            <rFont val="Arial"/>
            <family val="2"/>
          </rPr>
          <t>Limitada a 1.340 UVT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H167" authorId="4" shapeId="0">
      <text>
        <r>
          <rPr>
            <b/>
            <i/>
            <sz val="8"/>
            <color indexed="48"/>
            <rFont val="Arial"/>
            <family val="2"/>
          </rPr>
          <t>Limitada a 1.340 UVT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J167" authorId="4" shapeId="0">
      <text>
        <r>
          <rPr>
            <b/>
            <i/>
            <sz val="8"/>
            <color indexed="48"/>
            <rFont val="Arial"/>
            <family val="2"/>
          </rPr>
          <t>Limitada a 1.340 UVT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L167" authorId="4" shapeId="0">
      <text>
        <r>
          <rPr>
            <b/>
            <i/>
            <sz val="8"/>
            <color indexed="48"/>
            <rFont val="Arial"/>
            <family val="2"/>
          </rPr>
          <t>Limitada a 1.340 UVT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P167" authorId="4" shapeId="0">
      <text>
        <r>
          <rPr>
            <b/>
            <i/>
            <sz val="8"/>
            <color indexed="48"/>
            <rFont val="Arial"/>
            <family val="2"/>
          </rPr>
          <t>Limitada a 1.340 UVT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68" authorId="4" shapeId="0">
      <text>
        <r>
          <rPr>
            <b/>
            <i/>
            <sz val="8"/>
            <color indexed="48"/>
            <rFont val="Arial"/>
            <family val="2"/>
          </rPr>
          <t xml:space="preserve">Tenga en cuenta que algunas rentas exentas y deducciones imputables no son afectadas con los limites como el caso de los gastos de representación de Jueces,militares y otros funcionarios públicos, y otras prestaciones especiales….consúltelos y haga su cálculo manual.
</t>
        </r>
      </text>
    </comment>
    <comment ref="H168" authorId="4" shapeId="0">
      <text>
        <r>
          <rPr>
            <b/>
            <i/>
            <sz val="8"/>
            <color indexed="48"/>
            <rFont val="Arial"/>
            <family val="2"/>
          </rPr>
          <t xml:space="preserve">Tenga en cuenta que algunas rentas exentas y deducciones imputables no son afectadas con los limites como el caso de los gastos de representación de Jueces,militares y otros funcionarios públicos, y otras prestaciones especiales….consúltelos y haga su cálculo manual.
</t>
        </r>
      </text>
    </comment>
    <comment ref="J168" authorId="4" shapeId="0">
      <text>
        <r>
          <rPr>
            <b/>
            <i/>
            <sz val="8"/>
            <color indexed="48"/>
            <rFont val="Arial"/>
            <family val="2"/>
          </rPr>
          <t xml:space="preserve">Tenga en cuenta que algunas rentas exentas y deducciones imputables no son afectadas con los limites como el caso de los gastos de representación de Jueces,militares y otros funcionarios públicos, y otras prestaciones especiales….consúltelos y haga su cálculo manual.
</t>
        </r>
      </text>
    </comment>
    <comment ref="L168" authorId="4" shapeId="0">
      <text>
        <r>
          <rPr>
            <b/>
            <i/>
            <sz val="8"/>
            <color indexed="48"/>
            <rFont val="Arial"/>
            <family val="2"/>
          </rPr>
          <t xml:space="preserve">Tenga en cuenta que algunas rentas exentas y deducciones imputables no son afectadas con los limites como el caso de los gastos de representación de Jueces,militares y otros funcionarios públicos, y otras prestaciones especiales….consúltelos y haga su cálculo manual.
</t>
        </r>
      </text>
    </comment>
    <comment ref="P168" authorId="4" shapeId="0">
      <text>
        <r>
          <rPr>
            <b/>
            <i/>
            <sz val="8"/>
            <color indexed="48"/>
            <rFont val="Arial"/>
            <family val="2"/>
          </rPr>
          <t xml:space="preserve">Tenga en cuenta que algunas rentas exentas y deducciones imputables no son afectadas con los limites como el caso de los gastos de representación de Jueces,militares y otros funcionarios públicos, y otras prestaciones especiales….consúltelos y haga su cálculo manual.
</t>
        </r>
      </text>
    </comment>
    <comment ref="B195" authorId="4" shapeId="0">
      <text>
        <r>
          <rPr>
            <sz val="9"/>
            <color indexed="81"/>
            <rFont val="Tahoma"/>
            <family val="2"/>
          </rPr>
          <t xml:space="preserve">Este valor no puede superar la renta líquida del ejercicio.
</t>
        </r>
      </text>
    </comment>
    <comment ref="F201" authorId="3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8"/>
            <color indexed="48"/>
            <rFont val="Arial"/>
            <family val="2"/>
          </rPr>
          <t>Incluya en este renglón la utilidad en venta de activos fijos poseidos + de 2 años que corresponda a la depreciación solicitada como deducciones.</t>
        </r>
      </text>
    </comment>
  </commentList>
</comments>
</file>

<file path=xl/comments4.xml><?xml version="1.0" encoding="utf-8"?>
<comments xmlns="http://schemas.openxmlformats.org/spreadsheetml/2006/main">
  <authors>
    <author>Omar de J</author>
    <author>Oficina</author>
  </authors>
  <commentList>
    <comment ref="T12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En las indemnizaciones de seguros de vida no están gravadas las primeras 3250 UVT = $ 161,847.000</t>
        </r>
      </text>
    </comment>
    <comment ref="T13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No están gravadas las primeras 13.000 uvt = $ 647,387.000 de un inmueble de vivienda
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Las primeras 6.500 UVT = $323,694.000 de bienes inmuebles diferentes a la vivienda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i/>
            <sz val="9"/>
            <color indexed="81"/>
            <rFont val="Tahoma"/>
            <family val="2"/>
          </rPr>
          <t>Las primeras 3.250 UVT = $ 161,847.000 del vr de las asignaciones por concepto de porción conyugal, herencia o legado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el 20% de vr bienes y derechos recibidos por personas diferentes de los ligitimarios o conyuge por concepto de herencia y legados y el 20% vr recibido como donaciones, sin que supere 1.625 UVT = $ 80,923,000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Los libros, ropas, utensilios de uso personal y mobiliario de casa del causante.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Otras 5.000 UVT= $ 248,995.000 de la utilidad de la venta de la casa o apto de habitación, siempre que la totalidad de la venta se utilice en la compra de otra casa o apto de habitación o se consigne en cuenta AFC o pague créditos de la casa o apto vendido.</t>
        </r>
      </text>
    </comment>
    <comment ref="V27" authorId="1" shapeId="0">
      <text>
        <r>
          <rPr>
            <b/>
            <i/>
            <sz val="9"/>
            <color indexed="12"/>
            <rFont val="Arial Narrow"/>
            <family val="2"/>
          </rPr>
          <t>Este Valor no debe ser negativo. En caso de serlo iguale los costos y exentos al ingreso para que resulte CERO</t>
        </r>
      </text>
    </comment>
  </commentList>
</comments>
</file>

<file path=xl/comments5.xml><?xml version="1.0" encoding="utf-8"?>
<comments xmlns="http://schemas.openxmlformats.org/spreadsheetml/2006/main">
  <authors>
    <author>user</author>
    <author>INTEL</author>
    <author>Toshiba</author>
    <author>Omar de J</author>
  </authors>
  <commentList>
    <comment ref="J6" authorId="0" shapeId="0">
      <text>
        <r>
          <rPr>
            <b/>
            <sz val="9"/>
            <color indexed="81"/>
            <rFont val="Tahoma"/>
            <family val="2"/>
          </rPr>
          <t>Omar:</t>
        </r>
        <r>
          <rPr>
            <sz val="9"/>
            <color indexed="81"/>
            <rFont val="Tahoma"/>
            <family val="2"/>
          </rPr>
          <t xml:space="preserve">
Ubique el cursor en esta celda y desplace con flecha a la derecha</t>
        </r>
      </text>
    </comment>
    <comment ref="H125" authorId="1" shapeId="0">
      <text>
        <r>
          <rPr>
            <b/>
            <sz val="9"/>
            <color indexed="81"/>
            <rFont val="Tahoma"/>
            <family val="2"/>
          </rPr>
          <t xml:space="preserve">Tenga en cuenta las limitaciones a este concepto.(no pueden exceder del 30% del impuesto a cargo-ver ART 256, 257, 257-1 ET)
</t>
        </r>
      </text>
    </comment>
    <comment ref="H126" authorId="1" shapeId="0">
      <text>
        <r>
          <rPr>
            <b/>
            <sz val="9"/>
            <color indexed="81"/>
            <rFont val="Tahoma"/>
            <family val="2"/>
          </rPr>
          <t xml:space="preserve">Tenga en cuenta las limitaciones a este concepto.(no pueden exceder del 30% del impuesto a cargo-ver ART 256, 257, 257-1 ET)
</t>
        </r>
      </text>
    </comment>
    <comment ref="H127" authorId="1" shapeId="0">
      <text>
        <r>
          <rPr>
            <b/>
            <sz val="9"/>
            <color indexed="81"/>
            <rFont val="Tahoma"/>
            <family val="2"/>
          </rPr>
          <t xml:space="preserve">Tenga en cuenta las limitaciones a este concepto.Súmele al descuento por dividendos de la tabla nro 3 el descuento por IVA, activos productivos y otros)
</t>
        </r>
      </text>
    </comment>
    <comment ref="F148" authorId="2" shapeId="0">
      <text>
        <r>
          <rPr>
            <b/>
            <sz val="9"/>
            <color indexed="12"/>
            <rFont val="Tahoma"/>
            <family val="2"/>
          </rPr>
          <t xml:space="preserve">Si es su primera declaracion el anticipo es del 25%; si es la segunda declaracion  liquide el 50% y a partir de la tercera el porcentaje es del 75%. 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</rPr>
          <t>OCT: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Calibri"/>
            <family val="2"/>
            <scheme val="minor"/>
          </rPr>
          <t xml:space="preserve">Sanción mínima 10 UVT vigentes a la fecha de presentación  de la declaración en los casos de extemporaneidad y de 10 UVT vigentes en el año de presentación inicial de la declaración cuando sea una corrección.
</t>
        </r>
      </text>
    </comment>
    <comment ref="H155" authorId="3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Máximo 4
</t>
        </r>
      </text>
    </comment>
    <comment ref="H157" authorId="3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En caso de exceder el 60% todos los costos y gastos deben estar soportados con documentos ficsales válidos (electrónicos)</t>
        </r>
      </text>
    </comment>
    <comment ref="H158" authorId="3" shapeId="0">
      <text>
        <r>
          <rPr>
            <b/>
            <sz val="9"/>
            <color indexed="81"/>
            <rFont val="Tahoma"/>
            <family val="2"/>
          </rPr>
          <t>Omar de J: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Calibri"/>
            <family val="2"/>
            <scheme val="minor"/>
          </rPr>
          <t>Gesto libre del contribuyente para programas sociales y se cancela en fromulario 490 concepto 45 "Aporte voluntario Art.244-1 ET"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Toshiba</author>
  </authors>
  <commentList>
    <comment ref="AD54" authorId="0" shapeId="0">
      <text>
        <r>
          <rPr>
            <b/>
            <i/>
            <sz val="9"/>
            <color indexed="12"/>
            <rFont val="Tahoma"/>
            <family val="2"/>
          </rPr>
          <t>Por lo general esta casilla queda en cero, pues la declaración es firmada electrónicamente y presentada en la plataforma DIAN. El valor del impuesto debe pagarlo en formulario 490.</t>
        </r>
      </text>
    </comment>
  </commentList>
</comments>
</file>

<file path=xl/sharedStrings.xml><?xml version="1.0" encoding="utf-8"?>
<sst xmlns="http://schemas.openxmlformats.org/spreadsheetml/2006/main" count="1538" uniqueCount="1204">
  <si>
    <t>Valor</t>
  </si>
  <si>
    <t>Cuentas por cobrar</t>
  </si>
  <si>
    <t>Activos fijos</t>
  </si>
  <si>
    <t>Otros activos</t>
  </si>
  <si>
    <t>Total patrimonio bruto</t>
  </si>
  <si>
    <t>Pasivos</t>
  </si>
  <si>
    <t>Total patrimonio líquido</t>
  </si>
  <si>
    <t>Código</t>
  </si>
  <si>
    <t>Renta presuntiva</t>
  </si>
  <si>
    <t>Impuesto neto de renta</t>
  </si>
  <si>
    <t>Impuesto de ganancias ocasionales</t>
  </si>
  <si>
    <t>Total impuesto a cargo</t>
  </si>
  <si>
    <t>Saldo a pagar por impuesto</t>
  </si>
  <si>
    <t>Sanciones</t>
  </si>
  <si>
    <t>Acciones y aportes</t>
  </si>
  <si>
    <t>Inventarios</t>
  </si>
  <si>
    <t>Año Gravable</t>
  </si>
  <si>
    <t>Primer apellido</t>
  </si>
  <si>
    <t>Segundo apellido</t>
  </si>
  <si>
    <t>Primer nombre</t>
  </si>
  <si>
    <t>Otros nombres</t>
  </si>
  <si>
    <t>Si es una corrección indique:</t>
  </si>
  <si>
    <t>Indemnizaciones</t>
  </si>
  <si>
    <t>Seguros</t>
  </si>
  <si>
    <t>Ganancias ocasionales no gravadas y exentas</t>
  </si>
  <si>
    <t xml:space="preserve"> </t>
  </si>
  <si>
    <t>Vacaciones</t>
  </si>
  <si>
    <t>Bonificaciones</t>
  </si>
  <si>
    <t>Privada</t>
  </si>
  <si>
    <t>1. Año</t>
  </si>
  <si>
    <t>5. Número de Identificación Tributaria (NIT)</t>
  </si>
  <si>
    <t xml:space="preserve"> -</t>
  </si>
  <si>
    <t xml:space="preserve">7. Primer apellido </t>
  </si>
  <si>
    <t>8. Segundo apellido</t>
  </si>
  <si>
    <t>9. Primer nombre</t>
  </si>
  <si>
    <t>10. Otros nombres</t>
  </si>
  <si>
    <t>Datos del declarante</t>
  </si>
  <si>
    <t>Otros Activos</t>
  </si>
  <si>
    <t>Patrimonio</t>
  </si>
  <si>
    <t>Total saldo a pagar</t>
  </si>
  <si>
    <t>981. Cód. representación</t>
  </si>
  <si>
    <t>Firma del declarante o de quien lo representa</t>
  </si>
  <si>
    <t>980. Pago total $</t>
  </si>
  <si>
    <t>Número de Identificación Tributaria (NIT)</t>
  </si>
  <si>
    <t>DV</t>
  </si>
  <si>
    <t>FORMULARIO</t>
  </si>
  <si>
    <t>Código Dirección Seccional</t>
  </si>
  <si>
    <t>Datos del Declarante</t>
  </si>
  <si>
    <t>Código Representación</t>
  </si>
  <si>
    <t>Detalle</t>
  </si>
  <si>
    <t>Pagos Laborales sujetos a aportes</t>
  </si>
  <si>
    <t>Pagos Laborales NO sujetos a aportes</t>
  </si>
  <si>
    <t>Aportes Seguridad Social</t>
  </si>
  <si>
    <t>Salarios</t>
  </si>
  <si>
    <t>Horas Extras</t>
  </si>
  <si>
    <t>Recargos</t>
  </si>
  <si>
    <t>Dominicales y Festivos</t>
  </si>
  <si>
    <t>Comisiones con vinculo laboral</t>
  </si>
  <si>
    <t>Otros Conceptos</t>
  </si>
  <si>
    <t>Cesantias</t>
  </si>
  <si>
    <t>Intereses Cesantías</t>
  </si>
  <si>
    <t>Primas Legales</t>
  </si>
  <si>
    <t>Primas Extralegales</t>
  </si>
  <si>
    <t>Dotaciones</t>
  </si>
  <si>
    <t>Salud</t>
  </si>
  <si>
    <t>Pensión</t>
  </si>
  <si>
    <t>Riesgos profesionales</t>
  </si>
  <si>
    <t>SENA</t>
  </si>
  <si>
    <t>ICBF</t>
  </si>
  <si>
    <t>Cajas de Compensacion</t>
  </si>
  <si>
    <t>TOTALES:</t>
  </si>
  <si>
    <t>Porcentaje de aportación</t>
  </si>
  <si>
    <t>Auxilio de Transporte</t>
  </si>
  <si>
    <t>Renglón</t>
  </si>
  <si>
    <t>Valor Fiscal</t>
  </si>
  <si>
    <t>ANEXOS DE RENTAS GRAVABLES</t>
  </si>
  <si>
    <t>Activos Omitidos</t>
  </si>
  <si>
    <t>Pasivos Inexistentes</t>
  </si>
  <si>
    <t>GANACIAS OCASIONALES</t>
  </si>
  <si>
    <t>Costos por Ganancias Ocasionales</t>
  </si>
  <si>
    <t>G. O. No gravada y Exenta</t>
  </si>
  <si>
    <t>Ganancia Ocasional Gravable</t>
  </si>
  <si>
    <t>ANEXO DE RENTA PRESUNTIVA</t>
  </si>
  <si>
    <t>Patrimonio Bruto</t>
  </si>
  <si>
    <t>%</t>
  </si>
  <si>
    <t>Menos Bienes excluidos:</t>
  </si>
  <si>
    <t>Valor declarado</t>
  </si>
  <si>
    <t>Participación del Pasivo</t>
  </si>
  <si>
    <t>Renta de Bienes Excluidos</t>
  </si>
  <si>
    <t>PATRIMONIO BASE:</t>
  </si>
  <si>
    <t>Porcentaje de Renta Presuntiva</t>
  </si>
  <si>
    <t>Total Renta Presuntiva</t>
  </si>
  <si>
    <t>Efectivo, Bancos, Otras Inversiones</t>
  </si>
  <si>
    <t>Cuentas por Cobrar</t>
  </si>
  <si>
    <t>Inversiones y Aportes</t>
  </si>
  <si>
    <t>Activos Fijos</t>
  </si>
  <si>
    <t>ACTIVOS NO FISCALES</t>
  </si>
  <si>
    <t>Total Activos no Fiscales</t>
  </si>
  <si>
    <t>ANEXO DE PASIVOS</t>
  </si>
  <si>
    <t>ANEXO DE PATRIMONIO</t>
  </si>
  <si>
    <t>Patrimonio de Persona Natural</t>
  </si>
  <si>
    <t>Total Patrimonio</t>
  </si>
  <si>
    <t>Total Pasivo + Patrimonio</t>
  </si>
  <si>
    <t>Total Nómina Fiscal</t>
  </si>
  <si>
    <t>Activos no fiscales</t>
  </si>
  <si>
    <t>Costos por ganancias ocasionales</t>
  </si>
  <si>
    <t>Porcentaje</t>
  </si>
  <si>
    <t>Base de cálculo</t>
  </si>
  <si>
    <t>Total saldo a favor</t>
  </si>
  <si>
    <t>RANGOS EN UVT</t>
  </si>
  <si>
    <t>DESDE</t>
  </si>
  <si>
    <t>HASTA</t>
  </si>
  <si>
    <t>TARIFA MARGINAL</t>
  </si>
  <si>
    <t>IMPUESTO</t>
  </si>
  <si>
    <t>&gt;0</t>
  </si>
  <si>
    <t>Impuesto a Liquidar sobre:</t>
  </si>
  <si>
    <t>Renta expresada en UVT</t>
  </si>
  <si>
    <t>&gt;1,090</t>
  </si>
  <si>
    <t>&gt;1,700</t>
  </si>
  <si>
    <t>&gt;4,100</t>
  </si>
  <si>
    <t>En Adelante</t>
  </si>
  <si>
    <t>Patrimonio Líquido año anterior</t>
  </si>
  <si>
    <t>Aumentos</t>
  </si>
  <si>
    <t>Disminuciones</t>
  </si>
  <si>
    <t>Menos: Impuesto a cargo</t>
  </si>
  <si>
    <t>SUB-TOTAL</t>
  </si>
  <si>
    <t>Patrimonio Declarado</t>
  </si>
  <si>
    <t>Diferencia</t>
  </si>
  <si>
    <t>TOTAL JUSTIFICADO</t>
  </si>
  <si>
    <t>B O R R A D O R</t>
  </si>
  <si>
    <t>Nro. Formulario</t>
  </si>
  <si>
    <t>NOTA 4: Revise que sus anexos estén en CEROS antes de hacer una nueva declaración</t>
  </si>
  <si>
    <t>Anexo Nro. 01</t>
  </si>
  <si>
    <t>Anexo Nro. 03</t>
  </si>
  <si>
    <t>Datos Declaración</t>
  </si>
  <si>
    <t>Anexo Nro. 04</t>
  </si>
  <si>
    <t>Total Patrimonio Liquido Fiscal</t>
  </si>
  <si>
    <t>Efectivo, Bancos, Otras inversiones</t>
  </si>
  <si>
    <t>Valor UVT</t>
  </si>
  <si>
    <t>Valor Vigente UVT</t>
  </si>
  <si>
    <t>Promedio</t>
  </si>
  <si>
    <t>Declaración de Renta y Complementarios Personas</t>
  </si>
  <si>
    <t>Total Nómina Contribuyente</t>
  </si>
  <si>
    <t>ANEXOS DE ACTIVOS = Patrimonio Bruto</t>
  </si>
  <si>
    <t>Total Contribuyente</t>
  </si>
  <si>
    <t>Total Fiscal</t>
  </si>
  <si>
    <t>Ingresos no constitutivos de renta</t>
  </si>
  <si>
    <t>Valor declarado Presente Año</t>
  </si>
  <si>
    <t>12.Cod.Direccion Seccional</t>
  </si>
  <si>
    <t>Datos de quien firma como Representante del Declarante (Inscrito en el RUT)</t>
  </si>
  <si>
    <t xml:space="preserve">                    tienen comentario. Ubique el cursor del mouse en la celda para visualizarlo.</t>
  </si>
  <si>
    <r>
      <rPr>
        <b/>
        <sz val="10"/>
        <color rgb="FFFF0000"/>
        <rFont val="Calibri"/>
        <family val="2"/>
        <scheme val="minor"/>
      </rPr>
      <t>NOTA1</t>
    </r>
    <r>
      <rPr>
        <sz val="10"/>
        <color rgb="FFFF0000"/>
        <rFont val="Calibri"/>
        <family val="2"/>
        <scheme val="minor"/>
      </rPr>
      <t xml:space="preserve">:   </t>
    </r>
    <r>
      <rPr>
        <sz val="10"/>
        <rFont val="Calibri"/>
        <family val="2"/>
        <scheme val="minor"/>
      </rPr>
      <t xml:space="preserve">  Las celdas con un triángulo rojo en la parte superior derecha indican que</t>
    </r>
  </si>
  <si>
    <r>
      <rPr>
        <b/>
        <sz val="10"/>
        <color rgb="FFFF0000"/>
        <rFont val="Calibri"/>
        <family val="2"/>
        <scheme val="minor"/>
      </rPr>
      <t>NOTA 2:</t>
    </r>
    <r>
      <rPr>
        <sz val="10"/>
        <rFont val="Calibri"/>
        <family val="2"/>
        <scheme val="minor"/>
      </rPr>
      <t xml:space="preserve">     En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los campos no utilizados de </t>
    </r>
    <r>
      <rPr>
        <b/>
        <sz val="10"/>
        <color indexed="10"/>
        <rFont val="Calibri"/>
        <family val="2"/>
        <scheme val="minor"/>
      </rPr>
      <t>esta hoja</t>
    </r>
    <r>
      <rPr>
        <sz val="10"/>
        <rFont val="Calibri"/>
        <family val="2"/>
        <scheme val="minor"/>
      </rPr>
      <t xml:space="preserve">, digite un espacio con la barra espaciadora del teclado, </t>
    </r>
  </si>
  <si>
    <t xml:space="preserve">                    de esta manera la fórmula no traslada al formulario un dato de CERO.</t>
  </si>
  <si>
    <r>
      <rPr>
        <b/>
        <sz val="10"/>
        <color rgb="FFFF0000"/>
        <rFont val="Calibri"/>
        <family val="2"/>
        <scheme val="minor"/>
      </rPr>
      <t>NOTA 3:</t>
    </r>
    <r>
      <rPr>
        <sz val="10"/>
        <rFont val="Calibri"/>
        <family val="2"/>
        <scheme val="minor"/>
      </rPr>
      <t xml:space="preserve">    Puede imprimir las hojas a todo color o con la opción Blanco y negro.</t>
    </r>
  </si>
  <si>
    <t>Identificacion</t>
  </si>
  <si>
    <t>Aportes Parafiscales</t>
  </si>
  <si>
    <t>Mas: Renta Líquida Gravable</t>
  </si>
  <si>
    <t>Mas: Ingresos no constitutivos Renta</t>
  </si>
  <si>
    <t>Mas: Rentas Exentas</t>
  </si>
  <si>
    <t>Mas: Ganancia Ocasional</t>
  </si>
  <si>
    <t>Mas Ganancia Ocasional Exenta</t>
  </si>
  <si>
    <t>Parentesco</t>
  </si>
  <si>
    <t>Cesantias e intereses cesantias</t>
  </si>
  <si>
    <t>Viaticos y gastos de viaje</t>
  </si>
  <si>
    <t>Honorarios</t>
  </si>
  <si>
    <t>Comisiones</t>
  </si>
  <si>
    <t>Servicios</t>
  </si>
  <si>
    <t>Arrendamientos</t>
  </si>
  <si>
    <t>Otros ingresos laborales</t>
  </si>
  <si>
    <t>Ingresos por Gan.Ocasional en el pais</t>
  </si>
  <si>
    <t>Ingresos por Gan.Ocas. En el exterior</t>
  </si>
  <si>
    <t>Patrimonio Liquido</t>
  </si>
  <si>
    <t>ANEXO DE RENTAS 1</t>
  </si>
  <si>
    <t>Donaciones</t>
  </si>
  <si>
    <t>Deudas</t>
  </si>
  <si>
    <t>Ganancias ocasionales gravables</t>
  </si>
  <si>
    <t>Descuentos</t>
  </si>
  <si>
    <t>Total descuentos tributarios</t>
  </si>
  <si>
    <t>Liquidacion privada</t>
  </si>
  <si>
    <t>Conciliacion Patrimonial</t>
  </si>
  <si>
    <t>Justificcion de la diferencia</t>
  </si>
  <si>
    <t>HOJA DE TRABAJO DEL CONTADOR</t>
  </si>
  <si>
    <t>Valor patrimonial Neto</t>
  </si>
  <si>
    <t>COSTOS Y GASTOS DE NOMINA</t>
  </si>
  <si>
    <t>Retiros de Cesantias</t>
  </si>
  <si>
    <t>TOTALES: PATRIMONIO BRUTO</t>
  </si>
  <si>
    <t>Declaró el año anterior (S/N)</t>
  </si>
  <si>
    <t>ilíquidas de Causantes Residentes</t>
  </si>
  <si>
    <t xml:space="preserve">Herramienta diseñada para Personas Naturales - Empleados - Trabajadores cuenta Propia y Otros, obligados  o no, a llevar contabilidad - </t>
  </si>
  <si>
    <t>Naturales y Asimiladas de Residentes y Suceciones</t>
  </si>
  <si>
    <t>Pensiones de Jubilación</t>
  </si>
  <si>
    <t>Pensiones de vejez</t>
  </si>
  <si>
    <t>Pensiones de invalidez</t>
  </si>
  <si>
    <t>Pensiones sobrevivientes</t>
  </si>
  <si>
    <t>Indemnizaciones sustitutivas</t>
  </si>
  <si>
    <t>Devoluciones ahorro pensional</t>
  </si>
  <si>
    <t>Regalias y propiedad intelectual</t>
  </si>
  <si>
    <t>Gastos Financieros</t>
  </si>
  <si>
    <t>I N G R E S O S     B R U T O S</t>
  </si>
  <si>
    <t>Intereses y demás rend.fcieros.</t>
  </si>
  <si>
    <t>Ventas de mercancias</t>
  </si>
  <si>
    <t>Actividad agrícola</t>
  </si>
  <si>
    <t>Actividad pecuaria</t>
  </si>
  <si>
    <t>Beneficios de las ECE</t>
  </si>
  <si>
    <t>Totales Ingresos Brutos:</t>
  </si>
  <si>
    <t>Rentas de Trabajo</t>
  </si>
  <si>
    <t>Rentas de Pensiones</t>
  </si>
  <si>
    <t xml:space="preserve">Rentas de Capital </t>
  </si>
  <si>
    <t>Rentas No Laborales</t>
  </si>
  <si>
    <t>Rentas x Dividendos y participaciones</t>
  </si>
  <si>
    <t>INGRESOS NO CONSTITUTIVOS DE RENTA</t>
  </si>
  <si>
    <t>Aportes obligatorios pensiones</t>
  </si>
  <si>
    <t>Rendimiento fondos pensiones</t>
  </si>
  <si>
    <t>Aportes obligatorios salud</t>
  </si>
  <si>
    <t>Componente inflacionario NOLC</t>
  </si>
  <si>
    <t>Totales ingresos NCR</t>
  </si>
  <si>
    <t>Devoluciones, rebajas y desctos</t>
  </si>
  <si>
    <t>Costo de mercancia vendida</t>
  </si>
  <si>
    <t>Gastos de Personal</t>
  </si>
  <si>
    <t>Gastos Generales de Ventas</t>
  </si>
  <si>
    <t>Gastos Generales de Admón.</t>
  </si>
  <si>
    <t>Renta Líquida</t>
  </si>
  <si>
    <t>RENTAS EXENTAS Y DEDUCCIONES IMPUTABLES</t>
  </si>
  <si>
    <t>Cesantías</t>
  </si>
  <si>
    <t>25% pagos laborales -NETO</t>
  </si>
  <si>
    <t>RENTAS LIQUIDAS PASIVAS</t>
  </si>
  <si>
    <t>Totales Rentas Pasivas</t>
  </si>
  <si>
    <t>Renta líquida</t>
  </si>
  <si>
    <t>Rentas de trabajo</t>
  </si>
  <si>
    <t>Rentas de pensiones</t>
  </si>
  <si>
    <t>Ingresos brutos por rentas de pensiones del pais y del exterior</t>
  </si>
  <si>
    <t>Rentas exentas de pensiones</t>
  </si>
  <si>
    <t>Activos omitidos</t>
  </si>
  <si>
    <t>Pasivos inexistentes</t>
  </si>
  <si>
    <t>Renta por comparación patrimonial</t>
  </si>
  <si>
    <t>1a subcédula año 2017 y siguientes - num 3 art 49 del E.T.</t>
  </si>
  <si>
    <t>Dividendos año 2017</t>
  </si>
  <si>
    <t>Participaciones año 2017</t>
  </si>
  <si>
    <t>2a subcédula año 2017 y siguientes - paragrafo 2 art 49 del E.T.</t>
  </si>
  <si>
    <t>http://octprofempresas.wixsite.com/octpei</t>
  </si>
  <si>
    <t>Anexo Nro. 02</t>
  </si>
  <si>
    <t>Capital</t>
  </si>
  <si>
    <t>No laborales</t>
  </si>
  <si>
    <t>Cedulas</t>
  </si>
  <si>
    <t>Rentas exentas y deducciones Imputables</t>
  </si>
  <si>
    <t>Rentas exentas y deducciones Imputables - LIMITADAS</t>
  </si>
  <si>
    <t>Rentas exentas imputables</t>
  </si>
  <si>
    <t>Deducciones imputables</t>
  </si>
  <si>
    <t>Porcentaje Rentas Exentas</t>
  </si>
  <si>
    <t>Participación para Renta presuntiva</t>
  </si>
  <si>
    <t>RENTA LIQUIDA PRESUNTIVA</t>
  </si>
  <si>
    <t>Anexo Nro. 05</t>
  </si>
  <si>
    <t>F.210</t>
  </si>
  <si>
    <t>Rentas de capital</t>
  </si>
  <si>
    <t>Pérdida líquida del ejercicio</t>
  </si>
  <si>
    <t>Rentas no laborales</t>
  </si>
  <si>
    <t>Devoluciones, rebajas y descuentos</t>
  </si>
  <si>
    <t>Renta líquida ordinaria del ejercicio</t>
  </si>
  <si>
    <t>Renta líquida ordinaria año 2016 y anteriores</t>
  </si>
  <si>
    <t>1a subcédula año 2017 y siguientes numeral 3 art 49 del E.T.</t>
  </si>
  <si>
    <t>2a subcédula año 2017 y siguientes parágrafo 2 art 49 del E.T.</t>
  </si>
  <si>
    <t>Valor Impuesto</t>
  </si>
  <si>
    <t>Impuesto sobre la renta líquida por dividendos y participaciones año 2016</t>
  </si>
  <si>
    <t>Rentas líquida</t>
  </si>
  <si>
    <t>en adelante</t>
  </si>
  <si>
    <t>Renta Presuntiva</t>
  </si>
  <si>
    <t>Impuestos pagados en el exterior</t>
  </si>
  <si>
    <t>Anticipo renta liquidado año gravable anterior</t>
  </si>
  <si>
    <t>Saldo a favor del año gravable anterior sin solicitud de devolución y/o compensación</t>
  </si>
  <si>
    <t>Retención año gravable a declarar</t>
  </si>
  <si>
    <t>Anticipo renta para el año gravable siguiente</t>
  </si>
  <si>
    <t>Si la diferencia es positiva hace referencia a una disminución patrimonial por consumos propios o gastos no deducibles en la declaración de Renta. Por el contrario si es negativa debe revisar para no verse obligado a incluir mas rentas por comparación de patrimonio.</t>
  </si>
  <si>
    <t>Observaciones:</t>
  </si>
  <si>
    <t>Anexo Especial - Hoja de Trabajo exclusiva del Contador</t>
  </si>
  <si>
    <t>Ingresos por ganancias ocasionales del pais y del exterior</t>
  </si>
  <si>
    <t>997. Espacio exclusivo para el sello de la entidad recaudadora</t>
  </si>
  <si>
    <t>982. Cod. Contador</t>
  </si>
  <si>
    <t>994. Con salvedades</t>
  </si>
  <si>
    <t>983. No. Tarjeta profesional</t>
  </si>
  <si>
    <t>Tarjeta Profesional</t>
  </si>
  <si>
    <t>Salvedad</t>
  </si>
  <si>
    <t>Datos del Contador (En caso de requerirse su firma)</t>
  </si>
  <si>
    <t>Rentas líquidas pasivas no laborales - ECE</t>
  </si>
  <si>
    <t>Revisión 4 adaptada para Colombia</t>
  </si>
  <si>
    <t>0111 Cultivo de cereales (excepto arroz), legumbres y semillas oleaginosas.</t>
  </si>
  <si>
    <t>0112 Cultivo de arroz.</t>
  </si>
  <si>
    <t>0113 Cultivo de hortalizas, raíces y tubérculos.</t>
  </si>
  <si>
    <t>0114 Cultivo de tabaco.</t>
  </si>
  <si>
    <t>0115 Cultivo de plantas textiles.</t>
  </si>
  <si>
    <t>0119 Otros cultivos transitorios n.c.p.</t>
  </si>
  <si>
    <t>0121 Cultivo de frutas tropicales y subtropicales.</t>
  </si>
  <si>
    <t>0122 Cultivo de plátano y banano.</t>
  </si>
  <si>
    <t>0123 Cultivo de café.</t>
  </si>
  <si>
    <t>0124 Cultivo de caña de azúcar.</t>
  </si>
  <si>
    <t>0125 Cultivo de flor de corte.</t>
  </si>
  <si>
    <t>0126 Cultivo de palma para aceite (palma africana) y otros frutos oleaginosos.</t>
  </si>
  <si>
    <t>0127 Cultivo de plantas con las que se preparan bebidas.</t>
  </si>
  <si>
    <t>0128 Cultivo de especias y de plantas aromáticas y medicinales.</t>
  </si>
  <si>
    <t>0129 Otros cultivos permanentes n.c.p.</t>
  </si>
  <si>
    <t>0130 Propagación de plantas (actividades de los viveros, excepto viveros forestales)</t>
  </si>
  <si>
    <t>0141 Cría de ganado bovino y bufalino.</t>
  </si>
  <si>
    <t>0142 Cría de caballos y otros equinos.</t>
  </si>
  <si>
    <t>0143 Cría de ovejas y cabras.</t>
  </si>
  <si>
    <t>0144 Cría de ganado porcino.</t>
  </si>
  <si>
    <t>0145 Cría de aves de corral.</t>
  </si>
  <si>
    <t>0149 Cría de otros animales n.c.p.</t>
  </si>
  <si>
    <t>0150 Explotación mixta (agrícola y pecuaria).</t>
  </si>
  <si>
    <t>0161 Actividades de apoyo a la agricultura.</t>
  </si>
  <si>
    <t>0162 Actividades de apoyo a la ganadería.</t>
  </si>
  <si>
    <t>0163 Actividades posteriores a la cosecha.</t>
  </si>
  <si>
    <t>0164 Tratamiento de semillas para propagación.</t>
  </si>
  <si>
    <t>0170 Caza ordinaria y mediante trampas y actividades de servicios conexas.</t>
  </si>
  <si>
    <t>0210 Silvicultura y otras actividades forestales.</t>
  </si>
  <si>
    <t>0220 Extracción de madera.</t>
  </si>
  <si>
    <t>0230 Recolección de productos forestales diferentes a la madera.</t>
  </si>
  <si>
    <t>0240 Servicios de apoyo a la silvicultura.</t>
  </si>
  <si>
    <t>0311 Pesca marítima.</t>
  </si>
  <si>
    <t>0312 Pesca de agua dulce.</t>
  </si>
  <si>
    <t>0321 Acuicultura marítima.</t>
  </si>
  <si>
    <t>0322 Acuicultura de agua dulce.</t>
  </si>
  <si>
    <t>0510 Extracción de hulla (carbón de piedra).</t>
  </si>
  <si>
    <t>0520 Extracción de carbón lignito.</t>
  </si>
  <si>
    <t>0610 Extracción de petróleo crudo.</t>
  </si>
  <si>
    <t>0620 Extracción de gas natural.</t>
  </si>
  <si>
    <t>0710 Extracción de minerales de hierro.</t>
  </si>
  <si>
    <t>0721 Extracción de minerales de uranio y de torio.</t>
  </si>
  <si>
    <t>0722 Extracción de oro y otros metales preciosos.</t>
  </si>
  <si>
    <t>0723 Extracción de minerales de níquel.</t>
  </si>
  <si>
    <t>0729 Extracción de otros minerales metalíferos no ferrosos n.c.p.</t>
  </si>
  <si>
    <t>0811 Extracción de piedra, arena, arcillas comunes, yeso y anhidrita.</t>
  </si>
  <si>
    <t>0812 Extracción de arcillas de uso industrial, caliza, caolín y bentonitas.</t>
  </si>
  <si>
    <t>0820 Extracción de esmeraldas, piedras preciosas y semipreciosas.</t>
  </si>
  <si>
    <t>0891 Extracción de minerales para la fabricación de abonos y productos químicos.</t>
  </si>
  <si>
    <t>0892 Extracción de halita (sal).</t>
  </si>
  <si>
    <t>0899 Extracción de otros minerales no metálicos n.c.p.</t>
  </si>
  <si>
    <t>0910 Actividades de apoyo para la extracción de petróleo y de gas natural.</t>
  </si>
  <si>
    <t>0990 Actividades de apoyo para otras actividades de explotación de minas y canteras</t>
  </si>
  <si>
    <t>1011 Procesamiento y conservación de carne y productos cárnicos.</t>
  </si>
  <si>
    <t>1012 Procesamiento y conservación de pescados, crustáceos y moluscos.</t>
  </si>
  <si>
    <t>1020 Procesamiento y conservación de frutas, legumbres, hortalizas y tubérculos.</t>
  </si>
  <si>
    <t>1040 Elaboración de productos lácteos.</t>
  </si>
  <si>
    <t>1051 Elaboración de productos de molinería.</t>
  </si>
  <si>
    <t>1052 Elaboración de almidones y productos derivados del almidón.</t>
  </si>
  <si>
    <t>1061 Trilla de café.</t>
  </si>
  <si>
    <t>1062 Descafeinado, tostión y molienda del café.</t>
  </si>
  <si>
    <t>1063 Otros derivados del café.</t>
  </si>
  <si>
    <t>1071 Elaboración y refinación de azúcar.</t>
  </si>
  <si>
    <t>1072 Elaboración de panela.</t>
  </si>
  <si>
    <t>1081 Elaboración de productos de panadería.</t>
  </si>
  <si>
    <t>1082 Elaboración de cacao, chocolate y productos de confitería.</t>
  </si>
  <si>
    <t>1083 Elaboración de macarrones, fideos, alcuzcuz y productos farináceos similares.</t>
  </si>
  <si>
    <t>1084 Elaboración de comidas y platos preparados.</t>
  </si>
  <si>
    <t>1089 Elaboración de otros productos alimenticios n.c.p.</t>
  </si>
  <si>
    <t>1090 Elaboración de alimentos preparados para animales.</t>
  </si>
  <si>
    <t>1101 Destilación, rectificación y mezcla de bebidas alcohólicas.</t>
  </si>
  <si>
    <t>1102 Elaboración de bebidas fermentadas no destiladas.</t>
  </si>
  <si>
    <t>1103 Producción de malta, elaboración de cervezas y otras bebidas malteadas.</t>
  </si>
  <si>
    <t>1104 Elaboración de bebidas no alcohólicas, producción de aguas minerales y de otras aguas embotelladas</t>
  </si>
  <si>
    <t>1200 Elaboración de productos de tabaco.</t>
  </si>
  <si>
    <t>1311 Preparación e hilatura de fibras textiles.</t>
  </si>
  <si>
    <t>1312 Tejeduría de productos textiles.</t>
  </si>
  <si>
    <t>1313 Acabado de productos textiles.</t>
  </si>
  <si>
    <t>1391 Fabricación de tejidos de punto y ganchillo.</t>
  </si>
  <si>
    <t>1392 Confección de artículos con materiales textiles, excepto prendas de vestir.</t>
  </si>
  <si>
    <t>1393 Fabricación de tapetes y alfombras para pisos.</t>
  </si>
  <si>
    <t>1394 Fabricación de cuerdas, cordeles, cables, bramantes y redes.</t>
  </si>
  <si>
    <t>1399 Fabricación de otros artículos textiles n.c.p.</t>
  </si>
  <si>
    <t>1410 Confección de prendas de vestir, excepto prendas de piel.</t>
  </si>
  <si>
    <t>1420 Fabricación de artículos de piel.</t>
  </si>
  <si>
    <t>1430 Fabricación de artículos de punto y ganchillo.</t>
  </si>
  <si>
    <t>1511 Curtido y recurtido de cueros; recurtido y teñido de pieles.</t>
  </si>
  <si>
    <t>1512 Fabricación de artículos de viaje, bolsos de mano y artículos similares elaborados en cuero, y fabricación de artículos de talabartería y guarnicionería.</t>
  </si>
  <si>
    <t>1513 Fabricación de artículos de viaje, bolsos de mano y artículos similares; articulos de talabartería y guarnicionería elaborados en otros materiales.</t>
  </si>
  <si>
    <t>1521 Fabricación de calzado de cuero y piel, con cualquier tipo de suela.</t>
  </si>
  <si>
    <t>1522 Fabricación de otros tipos de calzado, excepto calzado de cuero y piel.</t>
  </si>
  <si>
    <t>1523 Fabricación de partes del calzado.</t>
  </si>
  <si>
    <t>1610 Aserrado, acepillado e impregnación de la madera.</t>
  </si>
  <si>
    <t>1620 Fabricación de hojas de madera para enchapado; fabricación de tableros contrachapados, tableros laminados, tableros de partículas y otros tableros y paneles</t>
  </si>
  <si>
    <t>1630 Fabricación de partes y piezas de madera, de carpintería y ebanistería para la construcción.</t>
  </si>
  <si>
    <t>1640 Fabricación de recipientes de madera.</t>
  </si>
  <si>
    <t>1690 Fabricación de otros productos de madera; fabricación de artículos de corcho, cestería y espartería.</t>
  </si>
  <si>
    <t>1701 Fabricación de pulpas (pastas) celulósicas; papel y cartón.</t>
  </si>
  <si>
    <t>1702 Fabricación de papel y cartón ondulado (corrugado); fabricación de envases, empaques y de embalajes de papel y cartón.</t>
  </si>
  <si>
    <t>1709 Fabricación de otros artículos de papel y cartón.</t>
  </si>
  <si>
    <t>1811 Actividades de impresión.</t>
  </si>
  <si>
    <t>1812 Actividades de servicios relacionados con la impresión.</t>
  </si>
  <si>
    <t>1820 Producción de copias a partir de grabaciones originales.</t>
  </si>
  <si>
    <t>1910 Fabricación de productos de hornos de coque.</t>
  </si>
  <si>
    <t>1921 Fabricación de productos de la refinación del petróleo.</t>
  </si>
  <si>
    <t>1922 Actividad de mezcla de combustibles.</t>
  </si>
  <si>
    <t>2011 Fabricación de sustancias y productos químicos básicos.</t>
  </si>
  <si>
    <t>2012 Fabricación de abonos y compuestos inorgánicos nitrogenados.</t>
  </si>
  <si>
    <t>2013 Fabricación de plásticos en formas primarias.</t>
  </si>
  <si>
    <t>2014 Fabricación de caucho sintético en formas primarias.</t>
  </si>
  <si>
    <t>2021 Fabricación de plaguicidas y otros productos químicos de uso agropecuario.</t>
  </si>
  <si>
    <t>2022 Fabricación de pinturas, barnices y revestimientos similares, tintas para impresión y masillas.</t>
  </si>
  <si>
    <t>2023 Fabricación de jabones y detergentes, preparados para limpiar y pulir; perfumes y preparados de tocador.</t>
  </si>
  <si>
    <t>2029 Fabricación de otros productos químicos n.c.p.</t>
  </si>
  <si>
    <t>2030 Fabricación de fibras sintéticas y artificiales.</t>
  </si>
  <si>
    <t>2100 Fabricación de productos farmacéuticos, sustancias químicas medicinales y productos botánicos de uso farmacéutico.</t>
  </si>
  <si>
    <t>2211 Fabricación de llantas y neumáticos de caucho</t>
  </si>
  <si>
    <t>2212 Reencauche de llantas usadas</t>
  </si>
  <si>
    <t>2219 Fabricación de formas básicas de caucho y otros productos de caucho n.c.p.</t>
  </si>
  <si>
    <t>2221 Fabricación de formas básicas de plástico.</t>
  </si>
  <si>
    <t>2229 Fabricación de artículos de plástico n.c.p.</t>
  </si>
  <si>
    <t>2310 Fabricación de vidrio y productos de vidrio.</t>
  </si>
  <si>
    <t>2391 Fabricación de productos refractarios.</t>
  </si>
  <si>
    <t>2392 Fabricación de materiales de arcilla para la construcción.</t>
  </si>
  <si>
    <t>2393 Fabricación de otros productos de cerámica y porcelana.</t>
  </si>
  <si>
    <t>2394 Fabricación de cemento, cal y yeso.</t>
  </si>
  <si>
    <t>2395 Fabricación de artículos de hormigón, cemento y yeso.</t>
  </si>
  <si>
    <t>2396 Corte, tallado y acabado de la piedra.</t>
  </si>
  <si>
    <t>2399 Fabricación de otros productos minerales no metálicos n.c.p.</t>
  </si>
  <si>
    <t>2410 Industrias básicas de hierro y de acero.</t>
  </si>
  <si>
    <t>2421 Industrias básicas de metales preciosos.</t>
  </si>
  <si>
    <t>2429 Industrias básicas de otros metales no ferrosos.</t>
  </si>
  <si>
    <t>2431 Fundición de hierro y de acero.</t>
  </si>
  <si>
    <t>2432 Fundición de metales no ferrosos.</t>
  </si>
  <si>
    <t>2511 Fabricación de productos metálicos para uso estructural.</t>
  </si>
  <si>
    <t>2512 Fabricación de tanques, depósitos y recipientes de metal, excepto los utilizados  para el envase o transporte de mercancias.</t>
  </si>
  <si>
    <t>2513 Fabricación de generadores de vapor, excepto calderas de agua caliente para calefacción central.</t>
  </si>
  <si>
    <t>2520 Fabricación de armas y municiones.</t>
  </si>
  <si>
    <t>2591 Forja, prensado, estampado y laminado de metal; pulvimetalurgia.</t>
  </si>
  <si>
    <t>2592 Tratamiento y revestimiento de metales; mecanizado.</t>
  </si>
  <si>
    <t>2593 Fabricación de artículos de cuchillería, herramientas de mano y artículos de ferretería.</t>
  </si>
  <si>
    <t>2599 Fabricación de otros productos elaborados de metal n.c.p.</t>
  </si>
  <si>
    <t>2610 Fabricación de componentes y tableros electrónicos.</t>
  </si>
  <si>
    <t>2620 Fabricación de computadoras y de equipo periférico.</t>
  </si>
  <si>
    <t>2630 Fabricación de equipos de comunicación.</t>
  </si>
  <si>
    <t>2640 Fabricación de aparatos electrónicos de consumo.</t>
  </si>
  <si>
    <t>2651 Fabricación de equipo de medición, prueba, navegación y control.</t>
  </si>
  <si>
    <t>2652 Fabricación de relojes.</t>
  </si>
  <si>
    <t>2660 Fabricación de equipo de irradiación y equipo electrónico de uso médico y terapéutico.</t>
  </si>
  <si>
    <t>2670 Fabricación de instrumentos ópticos y equipo fotográfico.</t>
  </si>
  <si>
    <t>2680 Fabricación de medios magnéticos y ópticos para almacenamiento de datos.</t>
  </si>
  <si>
    <t>2711 Fabricación de motores, generadores y transformadores eléctricos.</t>
  </si>
  <si>
    <t>2712 Fabricación de aparatos de distribución y control de la energía eléctrica.</t>
  </si>
  <si>
    <t>2720 Fabricación de pilas, baterías y acumuladores eléctricos.</t>
  </si>
  <si>
    <t>2731 Fabricación de hilos y cables eléctricos y de fibra óptica.</t>
  </si>
  <si>
    <t>2732 Fabricación de dispositivos de cableado.</t>
  </si>
  <si>
    <t>2740 Fabricación de equipos eléctricos de iluminación.</t>
  </si>
  <si>
    <t>2750 Fabricación de aparatos de uso doméstico.</t>
  </si>
  <si>
    <t>2790 Fabricación de otros tipos de equipo eléctrico n.c.p.</t>
  </si>
  <si>
    <t>2812 Fabricación de equipos de potencia hidráulica y neumática.</t>
  </si>
  <si>
    <t>2813 Fabricación de otras bombas, compresores, grifos y válvulas.</t>
  </si>
  <si>
    <t>2814 Fabricación de cojinetes, engranajes, trenes de engranajes y piezas de transmisión.</t>
  </si>
  <si>
    <t>2815 Fabricación de hornos, hogares y quemadores industriales.</t>
  </si>
  <si>
    <t>2816 Fabricación de equipo de elevación y manipulación.</t>
  </si>
  <si>
    <t>2817 Fabricación de maquinaria y equipo de oficina (excepto computadoras y equipo periférico).</t>
  </si>
  <si>
    <t>2818 Fabricación de herramientas manuales con motor.</t>
  </si>
  <si>
    <t>2819 Fabricación de otros tipos de maquinaria y equipo de uso general n.c.p.</t>
  </si>
  <si>
    <t>2821 Fabricación de maquinaria agropecuaria y forestal.</t>
  </si>
  <si>
    <t>2822 Fabricación de máquinas formadoras de metal y de máquinas herramienta.</t>
  </si>
  <si>
    <t>2823 Fabricación de maquinaria para la metalurgia.</t>
  </si>
  <si>
    <t>2824 Fabricación de maquinaria para explotación de minas y canteras y para obras de construcción.</t>
  </si>
  <si>
    <t>2825 Fabricación de maquinaria para la elaboración de alimentos, bebidas y tabaco.</t>
  </si>
  <si>
    <t>2826 Fabricación de maquinaria para la elaboración de productos textiles, prendas de vestir y cueros.</t>
  </si>
  <si>
    <t>2829 Fabricación de otros tipos de maquinaria y equipo de uso especial n.c.p.</t>
  </si>
  <si>
    <t>2910 Fabricación de vehículos automotores y sus motores.</t>
  </si>
  <si>
    <t>2920 Fabricación de carrocerías para vehículos automotores; fabricación de remolques y semirremolques.</t>
  </si>
  <si>
    <t>3011 Construcción de barcos y de estructuras flotantes.</t>
  </si>
  <si>
    <t>3012 Construcción de embarcaciones de recreo y deporte.</t>
  </si>
  <si>
    <t>3020 Fabricación de locomotoras y de material rodante para ferrocarriles.</t>
  </si>
  <si>
    <t>3030 Fabricación de aeronaves, naves espaciales y de maquinaria conexa.</t>
  </si>
  <si>
    <t>3040 Fabricación de vehículos militares de combate.</t>
  </si>
  <si>
    <t>3091 Fabricación de motocicletas.</t>
  </si>
  <si>
    <t>3092 Fabricación de bicicletas y de sillas de ruedas para personas con discapacidad.</t>
  </si>
  <si>
    <t>3099 Fabricación de otros tipos de equipo de transporte n.c.p.</t>
  </si>
  <si>
    <t>3110 Fabricación de muebles.</t>
  </si>
  <si>
    <t>3120 Fabricación de colchones y somieres.</t>
  </si>
  <si>
    <t>3220 Fabricación de instrumentos musicales.</t>
  </si>
  <si>
    <t>3230 Fabricación de artículos y equipo para la práctica del deporte.</t>
  </si>
  <si>
    <t>3240 Fabricación de juegos, juguetes y rompecabezas.</t>
  </si>
  <si>
    <t>3250 Fabricación de instrumentos, aparatos y materiales médicos y odontológicos (incluido mobiliario).</t>
  </si>
  <si>
    <t>3290 Otras industrias manufactureras n.c.p.</t>
  </si>
  <si>
    <t>3311 Mantenimiento y reparación especializado de productos elaborados en metal.</t>
  </si>
  <si>
    <t>3312 Mantenimiento y reparación especializado de maquinaria y equipo.</t>
  </si>
  <si>
    <t>3313 Mantenimiento y reparación especializado de equipo electrónico y óptico.</t>
  </si>
  <si>
    <t>3314 Mantenimiento y reparación especializado de equipo eléctrico.</t>
  </si>
  <si>
    <t>3315 Mantenimiento y reparación especializado de equipo de transporte, excepto los vehiculos automotores, motocicletas y bicicletas.</t>
  </si>
  <si>
    <t>3319 Mantenimiento y reparación de otros tipos de equipos y sus componentes n.c.p.</t>
  </si>
  <si>
    <t>3320 Instalación especializada de maquinaria y equipo industrial.</t>
  </si>
  <si>
    <t>3511 Generación de energía eléctrica.</t>
  </si>
  <si>
    <t>3512 Transmisión de energía eléctrica.</t>
  </si>
  <si>
    <t>3513 Distribución de energía eléctrica.</t>
  </si>
  <si>
    <t>3514 Comercialización de energía eléctrica.</t>
  </si>
  <si>
    <t>3520 Producción de gas; distribución de combustibles gaseosos por tuberías.</t>
  </si>
  <si>
    <t>3530 Suministro de vapor y aire acondicionado.</t>
  </si>
  <si>
    <t>3600 Captación, tratamiento y distribución de agua.</t>
  </si>
  <si>
    <t>3700 Evacuación y tratamiento de aguas residuales.</t>
  </si>
  <si>
    <t>3811 Recolección de desechos no peligrosos.</t>
  </si>
  <si>
    <t>3812 Recolección de desechos peligrosos.</t>
  </si>
  <si>
    <t>3821 Tratamiento y disposición de desechos no peligrosos.</t>
  </si>
  <si>
    <t>3822 Tratamiento y disposición de desechos peligrosos.</t>
  </si>
  <si>
    <t>3830 Recuperación de materiales.</t>
  </si>
  <si>
    <t>3900 Actividades de saneamiento ambiental y otros servicios de gestión de desechos.</t>
  </si>
  <si>
    <t>4111 Construcción de edificios residenciales.</t>
  </si>
  <si>
    <t>4112 Construcción de edificios no residenciales.</t>
  </si>
  <si>
    <t>4210 Construcción de carreteras y vías de ferrocarril.</t>
  </si>
  <si>
    <t>4220 Construcción de proyectos de servicio público.</t>
  </si>
  <si>
    <t>4290 Construcción de otras obras de ingeniería civil.</t>
  </si>
  <si>
    <t>4311 Demolición.</t>
  </si>
  <si>
    <t>4312 Preparación del terreno.</t>
  </si>
  <si>
    <t>4321 Instalaciones eléctricas.</t>
  </si>
  <si>
    <t>4322 Instalaciones de fontanería, calefacción y aire acondicionado.</t>
  </si>
  <si>
    <t>4329 Otras instalaciones especializadas.</t>
  </si>
  <si>
    <t>4330 Terminación y acabado de edificios y obras de ingeniería civil.</t>
  </si>
  <si>
    <t>4390 Otras actividades especializadas para la construcción de edificios y obras de ingeniería civil.</t>
  </si>
  <si>
    <t>4511 Comercio de vehículos automotores nuevos.</t>
  </si>
  <si>
    <t>4512 Comercio de vehículos automotores usados.</t>
  </si>
  <si>
    <t>4520 Mantenimiento y reparación de vehículos automotores.</t>
  </si>
  <si>
    <t>4530 Comercio de partes, piezas (autopartes) y accesorios (lujos) para vehículos automotores.</t>
  </si>
  <si>
    <t>4541 Comercio de motocicletas y de sus partes, piezas y accesorios.</t>
  </si>
  <si>
    <t>4542 Mantenimiento y reparación de motocicletas y de sus partes y piezas.</t>
  </si>
  <si>
    <t>4610 Comercio al por mayor a cambio de una retribución o por contrata.</t>
  </si>
  <si>
    <t>4620 Comercio al por mayor de materias primas agropecuarias; animales vivos.</t>
  </si>
  <si>
    <t>4631 Comercio al por mayor de productos alimenticios.</t>
  </si>
  <si>
    <t>4632 Comercio al por mayor de bebidas y tabaco.</t>
  </si>
  <si>
    <t>4641 Comercio al por mayor de productos textiles, productos confeccionados para uso domestico.</t>
  </si>
  <si>
    <t>4642 Comercio al por mayor de prendas de vestir.</t>
  </si>
  <si>
    <t>4643 Comercio al por mayor de calzado.</t>
  </si>
  <si>
    <t>4644 Comercio al por mayor de aparatos y equipo de uso doméstico.</t>
  </si>
  <si>
    <t>4645 Comercio al por mayor de productos farmacéuticos, medicinales, cosméticos y de tocador.</t>
  </si>
  <si>
    <t>4649 Comercio al por mayor de otros utensilios domésticos n.c.p.</t>
  </si>
  <si>
    <t>4651 Comercio al por mayor de computadores, equipo periférico y programas de informática.</t>
  </si>
  <si>
    <t>4652 Comercio al por mayor de equipo, partes y piezas electrónicos y de telecomunicaciones.</t>
  </si>
  <si>
    <t>4653 Comercio al por mayor de maquinaria y equipo agropecuarios.</t>
  </si>
  <si>
    <t>4659 Comercio al por mayor de otros tipos de maquinaria y equipo n.c.p.</t>
  </si>
  <si>
    <t>4661 Comercio al por mayor de combustibles sólidos, líquidos, gaseosos y productos conexos.</t>
  </si>
  <si>
    <t>4662 Comercio al por mayor de metales y productos metalíferos.</t>
  </si>
  <si>
    <t>4663 Comercio al por mayor de materiales de construcción, artículos de ferretería, pinturas, productos de vidrio, equipo y materiales de fontanería y calefacción.</t>
  </si>
  <si>
    <t>4664 Comercio al por mayor de productos químicos básicos, cauchos y plásticos en formas primarias y productos quimicos de uso agropecuario.</t>
  </si>
  <si>
    <t>4665 Comercio al por mayor de desperdicios, desechos y chatarra.</t>
  </si>
  <si>
    <t>4669 Comercio al por mayor de otros productos n.c.p.</t>
  </si>
  <si>
    <t>4690 Comercio al por mayor no especializado.</t>
  </si>
  <si>
    <t>4711 Comercio al por menor en establecimientos no especializados con surtido compuesto principalmente por alimentos, bebidas o tabaco.</t>
  </si>
  <si>
    <t>4721 Comercio al por menor de productos agrícolas para el consumo en establecimientos especializados.</t>
  </si>
  <si>
    <t>4722 Comercio al por menor de leche, productos lácteos y huevos, en establecimientos especializados.</t>
  </si>
  <si>
    <t>4723 Comercio al por menor de carnes (incluye aves de corral), productos cárnicos, pescados y productos de mar, en establecimientos especializados.</t>
  </si>
  <si>
    <t>4724 Comercio al por menor de bebidas y productos del tabaco, en establecimientos especializados.</t>
  </si>
  <si>
    <t>4729 Comercio al por menor de otros productos alimenticios n.c.p., en establecimientos especializados.</t>
  </si>
  <si>
    <t>4731 Comercio al por menor de combustible para automotores.</t>
  </si>
  <si>
    <t>4732 Comercio al por menor de lubricantes (aceites, grasas), aditivos y productos de limpieza para vehiculos automotores.</t>
  </si>
  <si>
    <t>4741 Comercio al por menor de computadores, equipos periféricos, programas de informática y equipos de telecomunicaciones en establecimientos especializados.</t>
  </si>
  <si>
    <t>4742 Comercio al por menor de equipos y aparatos de sonido y de video, en establecimientos especializados.</t>
  </si>
  <si>
    <t>4751 Comercio al por menor de productos textiles en establecimientos especializados.</t>
  </si>
  <si>
    <t>4752 Comercio al por menor de artículos de ferretería, pinturas y productos de vidrio en establecimientos especializados.</t>
  </si>
  <si>
    <t>4753 Comercio al por menor de tapices, alfombras y cubrimientos para paredes y pisos en establecimientos especializados.</t>
  </si>
  <si>
    <t>4759 Comercio al por menor de otros artículos domésticos en establecimientos especializados.</t>
  </si>
  <si>
    <t>4761 Comercio al por menor de libros, periódicos, materiales y artículos de papelería y escritorio, en establecimientos especializados.</t>
  </si>
  <si>
    <t>4762 Comercio al por menor de artículos deportivos, en establecimientos especializados.</t>
  </si>
  <si>
    <t>4769 Comercio al por menor de otros artículos culturales y de entretenimiento n.c.p. en establecimientos especializados.</t>
  </si>
  <si>
    <t>4771 Comercio al por menor de prendas de vestir y sus accesorios (incluye articulos de piel) en establecimientos especializados.</t>
  </si>
  <si>
    <t>4772 Comercio al por menor de todo tipo de calzado y artículos de cuero y sucedáneos del cuero en establecimientos especializados.</t>
  </si>
  <si>
    <t>4773 Comercio al por menor de productos farmacéuticos y medicinales, cosméticos y artículos de tocador en establecimientos especializados.</t>
  </si>
  <si>
    <t>4774 Comercio al por menor de otros productos nuevos en establecimientos especializados.</t>
  </si>
  <si>
    <t>4775 Comercio al por menor de artículos de segunda mano.</t>
  </si>
  <si>
    <t>4781 Comercio al por menor de alimentos, bebidas y tabaco, en puestos de venta móviles.</t>
  </si>
  <si>
    <t>4782 Comercio al por menor de productos textiles, prendas de vestir y calzado, en puestos de ventas móviles.</t>
  </si>
  <si>
    <t>4789 Comercio al por menor de otros productos en puestos de venta móviles.</t>
  </si>
  <si>
    <t>4791 Comercio al por menor realizado a través de internet.</t>
  </si>
  <si>
    <t>4792 Comercio al por menor realizado a través de casas de venta o por correo.</t>
  </si>
  <si>
    <t>4799 Otros tipos de comercio al por menor no realizado en establecimientos, puestos de venta o mercados.</t>
  </si>
  <si>
    <t>4911 Transporte férreo de pasajeros.</t>
  </si>
  <si>
    <t>4912 Transporte férreo de carga.</t>
  </si>
  <si>
    <t>4921 Transporte de pasajeros.</t>
  </si>
  <si>
    <t>4922 Transporte mixto.</t>
  </si>
  <si>
    <t>4923 Transporte de carga por carretera.</t>
  </si>
  <si>
    <t>4930 Transporte por tuberías.</t>
  </si>
  <si>
    <t>5011 Transporte de pasajeros marítimo y de cabotaje.</t>
  </si>
  <si>
    <t>5012 Transporte de carga marítimo y de cabotaje.</t>
  </si>
  <si>
    <t>5021 Transporte fluvial de pasajeros.</t>
  </si>
  <si>
    <t>5022 Transporte fluvial de carga.</t>
  </si>
  <si>
    <t>5111 Transporte aéreo nacional de pasajeros.</t>
  </si>
  <si>
    <t>5112 Transporte aéreo internacional de pasajeros.</t>
  </si>
  <si>
    <t>5121 Transporte aéreo nacional de carga.</t>
  </si>
  <si>
    <t>5122 Transporte aéreo internacional de carga.</t>
  </si>
  <si>
    <t>5210 Almacenamiento y depósito.</t>
  </si>
  <si>
    <t>5221 Actividades de estaciones, vías y servicios complementarios para el transporte terrestre.</t>
  </si>
  <si>
    <t>5222 Actividades de puertos y servicios complementarios para el transporte acuático.</t>
  </si>
  <si>
    <t>5223 Actividades de aeropuertos, servicios de navegación aérea y demás actividades conexas al transporte aéreo.</t>
  </si>
  <si>
    <t>5224 Manipulación de carga.</t>
  </si>
  <si>
    <t>5229 Otras actividades complementarias al transporte.</t>
  </si>
  <si>
    <t>5310 Actividades postales nacionales.</t>
  </si>
  <si>
    <t>5320 Actividades de mensajería.</t>
  </si>
  <si>
    <t>5511 Alojamiento en hoteles.</t>
  </si>
  <si>
    <t>5512 Alojamiento en apartahoteles.</t>
  </si>
  <si>
    <t>5513 Alojamiento en centros vacacionales.</t>
  </si>
  <si>
    <t>5514 Alojamiento rural.</t>
  </si>
  <si>
    <t>5519 Otros tipos de alojamientos para visitantes.</t>
  </si>
  <si>
    <t>5520 Actividades de zonas de camping y parques para vehículos recreacionales.</t>
  </si>
  <si>
    <t>5590 Otros tipos de alojamiento n.c.p.</t>
  </si>
  <si>
    <t>5611 Expendio a la mesa de comidas preparadas.</t>
  </si>
  <si>
    <t>5612 Expendio por autoservicio de comidas preparadas.</t>
  </si>
  <si>
    <t>5613 Expendio de comidas preparadas en cafeterías.</t>
  </si>
  <si>
    <t>5619 Otros tipos de expendio de comidas preparadas n.c.p.</t>
  </si>
  <si>
    <t>5621 Catering para eventos.</t>
  </si>
  <si>
    <t>5629 Actividades de otros servicios de comidas.</t>
  </si>
  <si>
    <t>5630 Expendio de bebidas alcohólicas para el consumo dentro del establecimiento.</t>
  </si>
  <si>
    <t>5811 Edición de libros.</t>
  </si>
  <si>
    <t>5812 Edición de directorios y listas de correo.</t>
  </si>
  <si>
    <t>5813 Edición de periódicos, revistas y otras publicaciones periódicas.</t>
  </si>
  <si>
    <t>5819 Otros trabajos de edición.</t>
  </si>
  <si>
    <t>5820 Edición de programas de informática (software).</t>
  </si>
  <si>
    <t>5911 Actividades de producción de películas cinematográficas, videos, programas, anuncios y comerciales de televisión.</t>
  </si>
  <si>
    <t>5912 Actividades de posproducción de películas cinematográficas, videos, programas, anuncios y comerciales de televisión.</t>
  </si>
  <si>
    <t>5913 Actividades de distribución de películas cinematográficas, videos, programas, anuncios y comerciales de televisión.</t>
  </si>
  <si>
    <t>5914 Actividades de exhibición de películas cinematográficas y videos.</t>
  </si>
  <si>
    <t>5920 Actividades de grabación de sonido y edición de música.</t>
  </si>
  <si>
    <t>6010 Actividades de programación y transmisión en el servicio de radiodifusión sonora.</t>
  </si>
  <si>
    <t>6020 Actividades de programación y transmisión de televisión.</t>
  </si>
  <si>
    <t>6110 Actividades de telecomunicaciones alámbricas.</t>
  </si>
  <si>
    <t>6120 Actividades de telecomunicaciones inalámbricas.</t>
  </si>
  <si>
    <t>6130 Actividades de telecomunicación satelital.</t>
  </si>
  <si>
    <t>6190 Otras actividades de telecomunicaciones.</t>
  </si>
  <si>
    <t>6201 Actividades de desarrollo de sistemas informáticos (planificación, análisis,diseño, programación, pruebas).</t>
  </si>
  <si>
    <t>6202 Actividades de consultoría informática y actividades de administración de instalaciones informáticas.</t>
  </si>
  <si>
    <t>6209 Otras actividades de tecnologías de información y actividades de servicios informáticos.</t>
  </si>
  <si>
    <t>6311 Procesamiento de datos, alojamiento (hosting) y actividades relacionadas.</t>
  </si>
  <si>
    <t>6312 Portales web.</t>
  </si>
  <si>
    <t>6391 Actividades de agencias de noticias.</t>
  </si>
  <si>
    <t>6399 Otras actividades de servicio de información n.c.p.</t>
  </si>
  <si>
    <t>6411 Banco Central.</t>
  </si>
  <si>
    <t>6412 Bancos comerciales.</t>
  </si>
  <si>
    <t>6421 Actividades de las corporaciones financieras.</t>
  </si>
  <si>
    <t>6422 Actividades de las compañías de financiamiento.</t>
  </si>
  <si>
    <t>6423 Banca de segundo piso.</t>
  </si>
  <si>
    <t>6424 Actividades de las cooperativas financieras.</t>
  </si>
  <si>
    <t>6431 Fideicomisos, fondos y entidades financieras similares.</t>
  </si>
  <si>
    <t>6432 Fondos de cesantías.</t>
  </si>
  <si>
    <t>6491 Leasing financiero (arrendamiento financiero).</t>
  </si>
  <si>
    <t>6492 Actividades financieras de fondos de empleados y otras formas asociativas del sector solidario.</t>
  </si>
  <si>
    <t>6493 Actividades de compra de cartera o factoring.</t>
  </si>
  <si>
    <t>6494 Otras actividades de distribución de fondos.</t>
  </si>
  <si>
    <t>6495 Instituciones especiales oficiales.</t>
  </si>
  <si>
    <t>6499 Otras actividades de servicio financiero, excepto las de seguros y pensiones n.c.p.</t>
  </si>
  <si>
    <t>6511 Seguros generales.</t>
  </si>
  <si>
    <t>6512 Seguros de vida.</t>
  </si>
  <si>
    <t>6513 Reaseguros.</t>
  </si>
  <si>
    <t>6521 Servicios de seguros sociales de salud.</t>
  </si>
  <si>
    <t>6522 Servicios de seguros sociales de riesgos profesionales.</t>
  </si>
  <si>
    <t>6531 Régimen de prima media con prestación definida (RPM).</t>
  </si>
  <si>
    <t>6611 Administración de mercados financieros.</t>
  </si>
  <si>
    <t>6612 Corretaje de valores y de contratos de productos básicos.</t>
  </si>
  <si>
    <t>6613 Otras actividades relacionadas con el mercado de valores.</t>
  </si>
  <si>
    <t>6615 Actividades de los profesionales de compra y venta de divisas.</t>
  </si>
  <si>
    <t>6619 Otras actividades auxiliares de las actividades de servicios financieros n.c.p.</t>
  </si>
  <si>
    <t>6621 Actividades de agentes y corredores de seguros</t>
  </si>
  <si>
    <t>6629 Evaluación de riesgos y daños, y otras actividades de servicios auxiliares</t>
  </si>
  <si>
    <t>6630 Actividades de administración de fondos.</t>
  </si>
  <si>
    <t>6810 Actividades inmobiliarias realizadas con bienes propios o arrendados.</t>
  </si>
  <si>
    <t>6820 Actividades inmobiliarias realizadas a cambio de una retribución o por contrata.</t>
  </si>
  <si>
    <t>6910 Actividades jurídicas.</t>
  </si>
  <si>
    <t>6920 Actividades de contabilidad, teneduría de libros, auditoría financiera y asesoría tributaria.</t>
  </si>
  <si>
    <t>7010 Actividades de administración empresarial.</t>
  </si>
  <si>
    <t>7120 Ensayos y análisis técnicos.</t>
  </si>
  <si>
    <t>7210 Investigaciones y desarrollo experimental en el campo de las ciencias naturales y la ingeniería.</t>
  </si>
  <si>
    <t>7220 Investigaciones y desarrollo experimental en el campo de las ciencias sociales y las humanidades.</t>
  </si>
  <si>
    <t>7310 Publicidad.</t>
  </si>
  <si>
    <t>7320 Estudios de mercado y realización de encuestas de opinión pública.</t>
  </si>
  <si>
    <t>7410 Actividades especializadas de diseño.</t>
  </si>
  <si>
    <t>7420 Actividades de fotografía.</t>
  </si>
  <si>
    <t>7490 Otras actividades profesionales, científicas y técnicas n.c.p.</t>
  </si>
  <si>
    <t>7500 Actividades veterinarias.</t>
  </si>
  <si>
    <t>7710 Alquiler y arrendamiento de vehículos automotores.</t>
  </si>
  <si>
    <t>7721 Alquiler y arrendamiento de equipo recreativo y deportivo.</t>
  </si>
  <si>
    <t>7722 Alquiler de videos y discos.</t>
  </si>
  <si>
    <t>7729 Alquiler y arrendamiento de otros efectos personales y enseres domésticos n.c.p.</t>
  </si>
  <si>
    <t>7730 Alquiler y arrendamiento de otros tipos de maquinaria, equipo y bienes tangibles n.c.p.</t>
  </si>
  <si>
    <t>7740 Arrendamiento de propiedad intelectual y productos similares, excepto obras protegidas por derecho de autor.</t>
  </si>
  <si>
    <t>7911 Actividades de las agencias de viaje.</t>
  </si>
  <si>
    <t>7912 Actividades de operadores turísticos.</t>
  </si>
  <si>
    <t>7990 Otros servicios de reserva y actividades relacionadas.</t>
  </si>
  <si>
    <t>8010 Actividades de seguridad privada.</t>
  </si>
  <si>
    <t>8020 Actividades de servicios de sistemas de seguridad.</t>
  </si>
  <si>
    <t>8030 Actividades de detectives e investigadores privados.</t>
  </si>
  <si>
    <t>8110 Actividades combinadas de apoyo a instalaciones.</t>
  </si>
  <si>
    <t>8121 Limpieza general interior de edificios.</t>
  </si>
  <si>
    <t>8129 Otras actividades de limpieza de edificios e instalaciones industriales.</t>
  </si>
  <si>
    <t>8130 Actividades de paisajismo y servicios de mantenimiento conexos.</t>
  </si>
  <si>
    <t>8211 Actividades combinadas de servicios administrativos de oficina</t>
  </si>
  <si>
    <t>8219 Fotocopiado, preparación de documentos y otras actividades especializadas de apoyo a oficina.</t>
  </si>
  <si>
    <t>8220 Actividades de centros de llamadas (Call center).</t>
  </si>
  <si>
    <t>8230 Organización de convenciones y eventos comerciales.</t>
  </si>
  <si>
    <t>8291 Actividades de agencias de cobranza y oficinas de calificación crediticia.</t>
  </si>
  <si>
    <t>8292 Actividades de envase y empaque.</t>
  </si>
  <si>
    <t>8299 Otras actividades de servicio de apoyo a las empresas n.c.p.</t>
  </si>
  <si>
    <t>8411 Actividades legislativas de la administración pública.</t>
  </si>
  <si>
    <t>8412 Actividades ejecutivas de la administración pública.</t>
  </si>
  <si>
    <t>8413 Regulación de las actividades de organismos que prestan servicios de salud, educativos, culturales y otros servicios sociales, excepto servicios de seguridad social.</t>
  </si>
  <si>
    <t>8414 Actividades reguladoras y facilitadoras de la actividad económica.</t>
  </si>
  <si>
    <t>8421 Relaciones exteriores.</t>
  </si>
  <si>
    <t>8422 Actividades de defensa.</t>
  </si>
  <si>
    <t>8423 Orden público y actividades de seguridad.</t>
  </si>
  <si>
    <t>8424 Administración de justicia.</t>
  </si>
  <si>
    <t>8430 Actividades de planes de seguridad social de afiliación obligatoria.</t>
  </si>
  <si>
    <t>8511 Educación de la primera infancia.</t>
  </si>
  <si>
    <t>8512 Educación preescolar.</t>
  </si>
  <si>
    <t>8513 Educación básica primaria.</t>
  </si>
  <si>
    <t>8521 Educación básica secundaria.</t>
  </si>
  <si>
    <t>8522 Educación media académica.</t>
  </si>
  <si>
    <t>8530 Establecimientos que combinan diferentes niveles de educación.</t>
  </si>
  <si>
    <t>8541 Educación técnica profesional.</t>
  </si>
  <si>
    <t>8542 Educación tecnológica.</t>
  </si>
  <si>
    <t>8543 Educación de instituciones universitarias o de escuelas tecnológicas.</t>
  </si>
  <si>
    <t>8544 Educación de universidades.</t>
  </si>
  <si>
    <t>8552 Enseñanza deportiva y recreativa.</t>
  </si>
  <si>
    <t>8553 Enseñanza cultural.</t>
  </si>
  <si>
    <t>8559 Otros tipos de educación n.c.p.</t>
  </si>
  <si>
    <t>8560 Actividades de apoyo a la educación.</t>
  </si>
  <si>
    <t>8610 Actividades de hospitales y clínicas, con internación.</t>
  </si>
  <si>
    <t>8621 Actividades de la práctica médica, sin internación.</t>
  </si>
  <si>
    <t>8622 Actividades de la práctica odontológica.</t>
  </si>
  <si>
    <t>8691 Actividades de apoyo diagnóstico.</t>
  </si>
  <si>
    <t>8692 Actividades de apoyo terapéutico.</t>
  </si>
  <si>
    <t>8699 Otras actividades de atención de la salud humana.</t>
  </si>
  <si>
    <t>8710 Actividades de atención residencial medicalizada de tipo general.</t>
  </si>
  <si>
    <t>8720 Actividades de atención residencial, para el cuidado de pacientes con retardo mental, enfermedad mental y consumo de sustancias psicoactivas.</t>
  </si>
  <si>
    <t>8730 Actividades de atención en instituciones para el cuidado de personas mayores y/o discapacitadas.</t>
  </si>
  <si>
    <t>8790 Otras actividades de atención en instituciones con alojamiento</t>
  </si>
  <si>
    <t>8810 Actividades de asistencia social sin alojamiento para personas mayores y discapacitadas.</t>
  </si>
  <si>
    <t>9001 Creación literaria.</t>
  </si>
  <si>
    <t>9002 Creación musical.</t>
  </si>
  <si>
    <t>9003 Creación teatral.</t>
  </si>
  <si>
    <t>9004 Creación audiovisual.</t>
  </si>
  <si>
    <t>9005 Artes plásticas y visuales.</t>
  </si>
  <si>
    <t>9006 Actividades teatrales.</t>
  </si>
  <si>
    <t>9007 Actividades de espectáculos musicales en vivo.</t>
  </si>
  <si>
    <t>9101 Actividades de bibliotecas y archivos.</t>
  </si>
  <si>
    <t>9102 Actividades y funcionamiento de museos, conservación de edificios y sitios históricos.</t>
  </si>
  <si>
    <t>9103 Actividades de jardines botánicos, zoológicos y reservas naturales.</t>
  </si>
  <si>
    <t>9200 Actividades de juegos de azar y apuestas.</t>
  </si>
  <si>
    <t>9311 Gestión de instalaciones deportivas.</t>
  </si>
  <si>
    <t>9312 Actividades de clubes deportivos.</t>
  </si>
  <si>
    <t>9319 Otras actividades deportivas.</t>
  </si>
  <si>
    <t>9321 Actividades de parques de atracciones y parques temáticos.</t>
  </si>
  <si>
    <t>9329 Otras actividades recreativas y de esparcimiento n.c.p.</t>
  </si>
  <si>
    <t>9411 Actividades de asociaciones empresariales y de empleadores</t>
  </si>
  <si>
    <t>9412 Actividades de asociaciones profesionales</t>
  </si>
  <si>
    <t>9420 Actividades de sindicatos de empleados.</t>
  </si>
  <si>
    <t>9491 Actividades de asociaciones religiosas.</t>
  </si>
  <si>
    <t>9492 Actividades de asociaciones políticas.</t>
  </si>
  <si>
    <t>9499 Actividades de otras asociaciones n.c.p.</t>
  </si>
  <si>
    <t>9511 Mantenimiento y reparación de computadores y de equipo periférico.</t>
  </si>
  <si>
    <t>9512 Mantenimiento y reparación de equipos de comunicación.</t>
  </si>
  <si>
    <t>9521 Mantenimiento y reparación de aparatos electrónicos de consumo.</t>
  </si>
  <si>
    <t>9522 Mantenimiento y reparación de aparatos y equipos domésticos y de jardinería.</t>
  </si>
  <si>
    <t>9523 Reparación de calzado y artículos de cuero.</t>
  </si>
  <si>
    <t>9524 Reparación de muebles y accesorios para el hogar.</t>
  </si>
  <si>
    <t>9529 Mantenimiento y reparación de otros efectos personales y enseres domésticos.</t>
  </si>
  <si>
    <t>9601 Lavado y limpieza, incluso la limpieza en seco, de productos textiles y de piel.</t>
  </si>
  <si>
    <t>9602 Peluquería y otros tratamientos de belleza.</t>
  </si>
  <si>
    <t>9603 Pompas fúnebres y actividades relacionadas.</t>
  </si>
  <si>
    <t>9609 Otras actividades de servicios personales n.c.p.</t>
  </si>
  <si>
    <t>9700 Actividades de los hogares individuales como empleadores de personal doméstico.</t>
  </si>
  <si>
    <t>9810 Actividades no diferenciadas de los hogares individuales como productores de bienes para uso propio.</t>
  </si>
  <si>
    <t>9820 Actividades no diferenciadas de los hogares individuales como productores de servicios para uso propio.</t>
  </si>
  <si>
    <t>9900 Actividades de organizaciones y entidades extraterritoriales.</t>
  </si>
  <si>
    <t>0010 Asalariados</t>
  </si>
  <si>
    <t>0082 Personas Naturales Subsidiadas por Terceros</t>
  </si>
  <si>
    <t>Reciba nuestro cordial saludo.</t>
  </si>
  <si>
    <t>En el anexo del Contador Ud debe diligenciar solo las celdas con fondo amarillo.</t>
  </si>
  <si>
    <t>Es una herramienta de ayuda y por tanto Ud. debe verificar que los datos queden correctamente clasificados.</t>
  </si>
  <si>
    <t xml:space="preserve">Visite nuestra página web:  </t>
  </si>
  <si>
    <r>
      <t xml:space="preserve">En </t>
    </r>
    <r>
      <rPr>
        <b/>
        <i/>
        <sz val="10"/>
        <color rgb="FF0070C0"/>
        <rFont val="Arial"/>
        <family val="2"/>
      </rPr>
      <t>"Rentas"</t>
    </r>
    <r>
      <rPr>
        <b/>
        <i/>
        <sz val="10"/>
        <rFont val="Arial"/>
        <family val="2"/>
      </rPr>
      <t xml:space="preserve"> encontrará un diseño cedular por columna y en </t>
    </r>
    <r>
      <rPr>
        <b/>
        <i/>
        <sz val="10"/>
        <color rgb="FF0070C0"/>
        <rFont val="Arial"/>
        <family val="2"/>
      </rPr>
      <t>"Rentas Especiales"</t>
    </r>
    <r>
      <rPr>
        <b/>
        <i/>
        <sz val="10"/>
        <rFont val="Arial"/>
        <family val="2"/>
      </rPr>
      <t xml:space="preserve"> incluimos un modelo práctico de cálculo de la renta presuntiva proporcional .</t>
    </r>
    <r>
      <rPr>
        <b/>
        <i/>
        <sz val="10"/>
        <color rgb="FF0070C0"/>
        <rFont val="Arial"/>
        <family val="2"/>
      </rPr>
      <t>(depure el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renglón renta exenta y gastos imputables)</t>
    </r>
  </si>
  <si>
    <t>NIT</t>
  </si>
  <si>
    <t>Dos últimos dígitos</t>
  </si>
  <si>
    <t>Declaración y pago</t>
  </si>
  <si>
    <t>99-00</t>
  </si>
  <si>
    <t>65-66</t>
  </si>
  <si>
    <t>23-24</t>
  </si>
  <si>
    <t>97-98</t>
  </si>
  <si>
    <t>63-64</t>
  </si>
  <si>
    <t>21-22</t>
  </si>
  <si>
    <t>95-96</t>
  </si>
  <si>
    <t>61-62</t>
  </si>
  <si>
    <t>19-20</t>
  </si>
  <si>
    <t>93-94</t>
  </si>
  <si>
    <t>59-60</t>
  </si>
  <si>
    <t>17-18</t>
  </si>
  <si>
    <t>91-92</t>
  </si>
  <si>
    <t>57-58</t>
  </si>
  <si>
    <t>15-16</t>
  </si>
  <si>
    <t>89-90</t>
  </si>
  <si>
    <t>55-56</t>
  </si>
  <si>
    <t>13-14</t>
  </si>
  <si>
    <t>87-88</t>
  </si>
  <si>
    <t>53-54</t>
  </si>
  <si>
    <t>11-12</t>
  </si>
  <si>
    <t>85-86</t>
  </si>
  <si>
    <t>51-52</t>
  </si>
  <si>
    <t>83-84</t>
  </si>
  <si>
    <t>49-50</t>
  </si>
  <si>
    <t>81-82</t>
  </si>
  <si>
    <t>47-48</t>
  </si>
  <si>
    <t>79-80</t>
  </si>
  <si>
    <t>45-46</t>
  </si>
  <si>
    <t>77-78</t>
  </si>
  <si>
    <t>43-44</t>
  </si>
  <si>
    <t>75-76</t>
  </si>
  <si>
    <t>41-42</t>
  </si>
  <si>
    <t>73-74</t>
  </si>
  <si>
    <t>39-40</t>
  </si>
  <si>
    <t>71-72</t>
  </si>
  <si>
    <t>37-38</t>
  </si>
  <si>
    <t>69-70</t>
  </si>
  <si>
    <t>35-36</t>
  </si>
  <si>
    <t>67-68</t>
  </si>
  <si>
    <t>33-34</t>
  </si>
  <si>
    <t>31-32</t>
  </si>
  <si>
    <t>29-30</t>
  </si>
  <si>
    <t>27-28</t>
  </si>
  <si>
    <t>25-26</t>
  </si>
  <si>
    <t>ACTIVOS EN EL EXTERIOR - DECLARACIÓN ANUAL</t>
  </si>
  <si>
    <t xml:space="preserve">Hasta </t>
  </si>
  <si>
    <t>Hasta</t>
  </si>
  <si>
    <t>Aportes voluntarios pensiones RAIS</t>
  </si>
  <si>
    <t>Apoyos económicos prog educativos</t>
  </si>
  <si>
    <t>Pagos a terceros x alimentación</t>
  </si>
  <si>
    <t>Distribución Manual</t>
  </si>
  <si>
    <t>Costos y deducciones procedentes</t>
  </si>
  <si>
    <t>Rentas liquidas pasivas de capital - ECE</t>
  </si>
  <si>
    <t>&gt;8670</t>
  </si>
  <si>
    <t>&gt;18970</t>
  </si>
  <si>
    <t>&gt;31000</t>
  </si>
  <si>
    <t>Rentas exentas y deducciones imputables limitadas</t>
  </si>
  <si>
    <t>Renta líquida ordinaria cédula general</t>
  </si>
  <si>
    <t>Compensación x pérdidas Ej. 2017</t>
  </si>
  <si>
    <t>Compensacion x perdidas Ej, 2018</t>
  </si>
  <si>
    <t>Compensación por exceso de renta presuntiva</t>
  </si>
  <si>
    <t>Rentas Gravables</t>
  </si>
  <si>
    <t>Recuperación de deducciones</t>
  </si>
  <si>
    <t>RENTAS GRAVABLES:</t>
  </si>
  <si>
    <t>Renta líquida gravable cédula general</t>
  </si>
  <si>
    <t>Renta líquida gravable cédula de pensiones</t>
  </si>
  <si>
    <t>Dividendos y participaciones 2016 y anteriores y otros</t>
  </si>
  <si>
    <t>Capitalizaciones no gravadas</t>
  </si>
  <si>
    <t>Ganancias Ocasionales</t>
  </si>
  <si>
    <t>Por dividendos y participaciones año 2017 y siguientes. 2a subcédula</t>
  </si>
  <si>
    <t>Total impuesto sobre las rentas líquidas gravables</t>
  </si>
  <si>
    <t>GO x Rifas, apuestas y similares</t>
  </si>
  <si>
    <t>PATRIMONIO FISCAL JUSTIFICABLE</t>
  </si>
  <si>
    <t>25. Cód.</t>
  </si>
  <si>
    <t>26. No. formulario anterior</t>
  </si>
  <si>
    <t>Renta líquida cédula general</t>
  </si>
  <si>
    <t>Cédula de pensiones</t>
  </si>
  <si>
    <t>Cédula de dividendos y participaciones</t>
  </si>
  <si>
    <t>A</t>
  </si>
  <si>
    <t>B</t>
  </si>
  <si>
    <t>C</t>
  </si>
  <si>
    <t>D</t>
  </si>
  <si>
    <t>GO x Otros Conceptos</t>
  </si>
  <si>
    <t>2811 Fabricación de motores, turbinas, y partes para motores de combustión interna.</t>
  </si>
  <si>
    <t>2930 Fabricación de partes, piezas (autopartes) y accesorios (lujos) para vehículos automotores.</t>
  </si>
  <si>
    <t>4719 Comercio al por menor en establecimientos no especializados, con surtido compuesto principalmente por productos diferentes de alimentos (viveres en general), bebidas (alcoholicas y no alcoholicas) y tabaco.</t>
  </si>
  <si>
    <t>4754 Comercio al por menor de electrodomésticos y gasodomésticos de uso doméstico, muebles y equipos de iluminación en establecimientos especializados.</t>
  </si>
  <si>
    <t>4755 Comercio al por menor de artículos y utensilios de uso doméstico en establecimientos especializados.</t>
  </si>
  <si>
    <t>5530 Servicio de estancia por horas</t>
  </si>
  <si>
    <t>6496 Capitalización.</t>
  </si>
  <si>
    <t>6515 Seguros de Salud.</t>
  </si>
  <si>
    <t>6523 Servicios de seguros sociales en riesgos familia.</t>
  </si>
  <si>
    <t>6532 Régimen de ahorro con solidaridad (RAIS).</t>
  </si>
  <si>
    <t>6614 Actividades de las sociedades de intermediación cambiaria y de servicios financieros especiales.</t>
  </si>
  <si>
    <t>7020 Actividades de consultoría de gestión.</t>
  </si>
  <si>
    <t>7111 Actividades de arquitectura.</t>
  </si>
  <si>
    <t>7112 Actividades de ingeniería y otras actividades conexas de consultoría técnica.</t>
  </si>
  <si>
    <t>7810 Actividades de agencias de gestión y colocación empleo.</t>
  </si>
  <si>
    <t>7820 Actividades de empresas de servicios temporales.</t>
  </si>
  <si>
    <t>7830 Otras actividades de provisión de talento humano.</t>
  </si>
  <si>
    <t>8415 Actividades de los órganos de control y otras instituciones.</t>
  </si>
  <si>
    <t>8523 Educación media técnica.</t>
  </si>
  <si>
    <t>8551 Formación para el trabajo.</t>
  </si>
  <si>
    <t>8891 Actividades de guarderias para niños y niñas.</t>
  </si>
  <si>
    <t>8899 Otras actividades de asistencia social n.c.p.</t>
  </si>
  <si>
    <t>9008 Otras actividades de espectáculos en vivo n.c.p..</t>
  </si>
  <si>
    <t>0020 Pensionados.</t>
  </si>
  <si>
    <t>0081 Personas Naturales y sucesiones iliquidas sin Actividad Económica</t>
  </si>
  <si>
    <t>0090 Rentistas de Capital, solo para personas naturales y sucesiones iliquidas.</t>
  </si>
  <si>
    <t>Fracción año gravable siguiente</t>
  </si>
  <si>
    <t>01-02</t>
  </si>
  <si>
    <t>03-04</t>
  </si>
  <si>
    <t>05-06</t>
  </si>
  <si>
    <t>07-08</t>
  </si>
  <si>
    <t>09-10</t>
  </si>
  <si>
    <t>Dividendos 2016 y anteriores y otros</t>
  </si>
  <si>
    <t>Participaciones 2016 y anteriores y otros</t>
  </si>
  <si>
    <t>COSTOS Y DEDUCCIONES  PROCEDENTES</t>
  </si>
  <si>
    <t>Totales Costos y Deducciones</t>
  </si>
  <si>
    <t>a) Rentas Exentas</t>
  </si>
  <si>
    <t>Aportes voluntarios AFC-FVP-AVC</t>
  </si>
  <si>
    <t>Total Rentas Exentas</t>
  </si>
  <si>
    <t>Indemnizaciones x acc de trabajo o enfermedad</t>
  </si>
  <si>
    <t>Indemnizaciones protección maternidad</t>
  </si>
  <si>
    <t>Gastos de entierro del trabajador</t>
  </si>
  <si>
    <t>Tabla para calcular el valor de las Cesantias Exentas cuando son superiores a 350 UVT mensuales</t>
  </si>
  <si>
    <t>SALARIO MENSUAL PROMEDIO EN UVT</t>
  </si>
  <si>
    <t>Parte no Gravada</t>
  </si>
  <si>
    <t>Mayor de 410 UVT hasta 470 UVT</t>
  </si>
  <si>
    <t>Mayor de 350 UVT hasta 410 UVT</t>
  </si>
  <si>
    <t>Mayor de 470 UVT hasta 530 UVT</t>
  </si>
  <si>
    <t>Mayor de 530 UVT hasta 590 UVT</t>
  </si>
  <si>
    <t>Mayor de 590 UVT hasta 650 UVT</t>
  </si>
  <si>
    <t>Mayor de 650 UVT</t>
  </si>
  <si>
    <t>Mayor de 001 UVT hasta 350 UVT</t>
  </si>
  <si>
    <t>Promedio Mes hasta</t>
  </si>
  <si>
    <t>b) Deducciones imputables:</t>
  </si>
  <si>
    <t>Intereses de vivienda</t>
  </si>
  <si>
    <t>Aportes cesantías independientes</t>
  </si>
  <si>
    <t>Pagos x salud</t>
  </si>
  <si>
    <t>Dependiente económico</t>
  </si>
  <si>
    <t>Gravámen a los movimientos financieros</t>
  </si>
  <si>
    <t>Intereses  prestamo educativo ICETEX</t>
  </si>
  <si>
    <t>Total Deducciones imputables</t>
  </si>
  <si>
    <t>Total rentas exentas</t>
  </si>
  <si>
    <t>Total  deducciones imputables</t>
  </si>
  <si>
    <t>TOTALES</t>
  </si>
  <si>
    <t>Cálculo especial de las limitaciones de las rentas exentas y deducciones imputables</t>
  </si>
  <si>
    <t>Total Rentas Exentas y Deducciones Imputables</t>
  </si>
  <si>
    <t>Limitación en Porcentaje (40%)</t>
  </si>
  <si>
    <t>Rentas Exentas y/o Deduc Imputables  (Limitadas)</t>
  </si>
  <si>
    <t>Renta líquida ordinaria del ejercicio:</t>
  </si>
  <si>
    <t>Pérdida Líquida del ejercicio</t>
  </si>
  <si>
    <t>RENTA LIQUIDA ORDINARIA</t>
  </si>
  <si>
    <t>Compensación por pérdidas año gravable 2018 y anteriores</t>
  </si>
  <si>
    <t>Rentas líquidas gravables por la cédula de dividendos y participaciones</t>
  </si>
  <si>
    <t>Aportes voluntarios AFC, FVP y/o AVC</t>
  </si>
  <si>
    <t>Otras rentas exentas</t>
  </si>
  <si>
    <t>Otras deducciones imputables</t>
  </si>
  <si>
    <t>Total deducciones imputables</t>
  </si>
  <si>
    <t>Rentas exentas y/o deduc. Imputables (limitadas)</t>
  </si>
  <si>
    <t>Renta líquida ordinaria</t>
  </si>
  <si>
    <t>Ingresos brutos</t>
  </si>
  <si>
    <t xml:space="preserve">Ingresos brutos  </t>
  </si>
  <si>
    <t>Compensaciones por pérdidas</t>
  </si>
  <si>
    <t>Compensaciones por pérdidas año gravable 2018 y anteriores</t>
  </si>
  <si>
    <t>Rentas exentas de la casilla 109</t>
  </si>
  <si>
    <t>LIQUIDACIÓN      PRIVADA</t>
  </si>
  <si>
    <t>Impuesto sobre la renta líquida cedularGeneral y de pensiones o Presuntiva y pensiones</t>
  </si>
  <si>
    <t>BASE GRAVABLE:</t>
  </si>
  <si>
    <t>Descuento por impuestos pagados en el exterior por ganancias ocasionales</t>
  </si>
  <si>
    <t>Nota 3</t>
  </si>
  <si>
    <t>Nota 4</t>
  </si>
  <si>
    <t>6.DV</t>
  </si>
  <si>
    <t>24. Actividad económica principal</t>
  </si>
  <si>
    <t>27,Fracción año gravable siguiente</t>
  </si>
  <si>
    <t>Total Patrimonio Líquido</t>
  </si>
  <si>
    <t>Rentas líquidas pasivas - ECE</t>
  </si>
  <si>
    <t xml:space="preserve">Rentas exentas </t>
  </si>
  <si>
    <t>Renta llíquida ordinaria del ejercicio</t>
  </si>
  <si>
    <t>Comp pérdidas año 2018 y ant</t>
  </si>
  <si>
    <t>Rta  liq ordinaria cédula general</t>
  </si>
  <si>
    <t>Rta liq grav cedula general</t>
  </si>
  <si>
    <t>Rentas gravables</t>
  </si>
  <si>
    <t>Cédula General</t>
  </si>
  <si>
    <t>Dividendos y participaciones 2016 y anteriores, y otros</t>
  </si>
  <si>
    <t>1a sub-cédula año 2017 y siguientes nral 3 art 49 ET</t>
  </si>
  <si>
    <t>2a sub-cédula año 2017 y siguientes parag 2 art 49 ET</t>
  </si>
  <si>
    <t>Ingresos por ganancias ocasionales en el pais y del exterior</t>
  </si>
  <si>
    <t>Impuesto sobre las rentas líquidas gravables</t>
  </si>
  <si>
    <t xml:space="preserve">Por dividendos y participaciones año 2016 </t>
  </si>
  <si>
    <t>Por dividendos y participaciones año 2017 y sig - 2a sub-cédula y otros</t>
  </si>
  <si>
    <t>Imptos pagados en el exterior</t>
  </si>
  <si>
    <t>Saldo a favor del año gravable anterior sin solicitud de devol y/o compens</t>
  </si>
  <si>
    <t>Conceptos / rentas</t>
  </si>
  <si>
    <t>Pensiones Exentas</t>
  </si>
  <si>
    <t>Independientes</t>
  </si>
  <si>
    <t>De Trabajo</t>
  </si>
  <si>
    <t>ESTADISTICA PATRIMONIAL</t>
  </si>
  <si>
    <r>
      <t xml:space="preserve">Identifique la letra de la celda que le corresponde como RENTA EXENTA LIMITADA ( A  ó B  ó C ó D). Recuerde que los servidores públicos, docentes y militares tienen tratamiento especial, al igual que algunas rentas exentas no tienen limites.  </t>
    </r>
    <r>
      <rPr>
        <b/>
        <i/>
        <sz val="10"/>
        <color rgb="FFFF0000"/>
        <rFont val="Arial"/>
        <family val="2"/>
      </rPr>
      <t>En condiciones generales debe tomar la MÏNIMA.</t>
    </r>
    <r>
      <rPr>
        <b/>
        <sz val="10"/>
        <color indexed="10"/>
        <rFont val="Arial"/>
        <family val="2"/>
      </rPr>
      <t xml:space="preserve"> </t>
    </r>
  </si>
  <si>
    <t>Compensación x pérdidas</t>
  </si>
  <si>
    <t>Año de Adquisicón</t>
  </si>
  <si>
    <t>Adiciones y Mejoras</t>
  </si>
  <si>
    <t>MAS=Ajustes del Año + Adquisiciones</t>
  </si>
  <si>
    <t>MENOS= Ventas o Desvalorizaciones</t>
  </si>
  <si>
    <t>PATRIMONIO LIQUIDO AÑO ANTERIOR</t>
  </si>
  <si>
    <t>VARIACIÓN DEL AÑO</t>
  </si>
  <si>
    <t>Bienes y Ajustes No Fiscales</t>
  </si>
  <si>
    <t>Tipo</t>
  </si>
  <si>
    <t>Efectivo</t>
  </si>
  <si>
    <t>CxC</t>
  </si>
  <si>
    <t>Inversiones</t>
  </si>
  <si>
    <t>Valor de Compra o Vr Fiscal</t>
  </si>
  <si>
    <t>Anexo Nro. 06</t>
  </si>
  <si>
    <t>Año de Compra</t>
  </si>
  <si>
    <t>Costo Histórico</t>
  </si>
  <si>
    <t>Ajustes</t>
  </si>
  <si>
    <t>Valor Declarado Año Anterior</t>
  </si>
  <si>
    <t>MINISTERIO DE HACIENDA Y CRÉDITO PÚBLICO</t>
  </si>
  <si>
    <t>Año de Adquisición</t>
  </si>
  <si>
    <t>De conformidad con lo dispuesto por el artículo 73 del ET, en cualquiera de los casos señalados en los numerales 1 y 2, la cifra obtenida, puede ser incrementada en el valor de las mejoras y contribuciones por valorización que se hubiere pagado, cuando se trate de bienes raices.</t>
  </si>
  <si>
    <t>En el momento de la enajenación del inmueble, se restará del costo fiscal determinado de acuerdo con el presente artículo, las depreciaciones que hayan sido deducidas para fines fiscales.</t>
  </si>
  <si>
    <t>y anteriores</t>
  </si>
  <si>
    <t>Vr Ajustado + Adiciones y Mejoras</t>
  </si>
  <si>
    <t>Anexo Especial del Contador</t>
  </si>
  <si>
    <t>Nota 2</t>
  </si>
  <si>
    <t>Prestaciones Sociales</t>
  </si>
  <si>
    <t>Tipo Documento Identidad</t>
  </si>
  <si>
    <t>Edad</t>
  </si>
  <si>
    <t>1031 Extracción de aceites de origen vegetal crudos</t>
  </si>
  <si>
    <t>1032 Elaboración de aceites y grasas de origen vegetal refinados</t>
  </si>
  <si>
    <t>1033 Elaboración de aceites y grasas de origen animal</t>
  </si>
  <si>
    <t>Revise el beneficio de auditoría.</t>
  </si>
  <si>
    <t>Incremento en Pesos</t>
  </si>
  <si>
    <t>Incremento en Porcentaje</t>
  </si>
  <si>
    <t>Presentó la declaración oportunamente?</t>
  </si>
  <si>
    <t>Si</t>
  </si>
  <si>
    <t>Pagó el impuesto en plazos fijados?</t>
  </si>
  <si>
    <t>Goza de otros beneficios tributarios?</t>
  </si>
  <si>
    <t>No</t>
  </si>
  <si>
    <t>Todas sus retenciones estan verificadas?</t>
  </si>
  <si>
    <t>&gt; $ 24.702.600</t>
  </si>
  <si>
    <t xml:space="preserve">  - Retenciones a titulo de renta y GO</t>
  </si>
  <si>
    <t>Renta liquida ced general</t>
  </si>
  <si>
    <t>Artículo 1. - Sustitución de los artículos 1.2.1.17.20 y 1.2.1.17.21 del capítulo 17 del Título 1 de la Parte 2 del libro 1 del Decreto 1625 de 2016, ünico Reglamentario en Materia Tributaria.</t>
  </si>
  <si>
    <t>S</t>
  </si>
  <si>
    <t xml:space="preserve">      </t>
  </si>
  <si>
    <t>Costos y Gastos NO Deducibles</t>
  </si>
  <si>
    <t>TOTAL COSTOS Y DEDUCCIONES CONTABLES</t>
  </si>
  <si>
    <t>Gastos de personal</t>
  </si>
  <si>
    <t>Impuestos</t>
  </si>
  <si>
    <t>TOTAL COSTOS Y DEDUCCIONES FISCALES</t>
  </si>
  <si>
    <t>Contribuciones y Afiliaciones</t>
  </si>
  <si>
    <t xml:space="preserve">Servicios  </t>
  </si>
  <si>
    <t>Diversos</t>
  </si>
  <si>
    <t>Gastos Bancarios</t>
  </si>
  <si>
    <t>GMF-4 x mil</t>
  </si>
  <si>
    <t>Comisiones bancarias</t>
  </si>
  <si>
    <t>Intereses</t>
  </si>
  <si>
    <t>Costos y Gastos Ej anteriores</t>
  </si>
  <si>
    <t>Impuestos asumidos</t>
  </si>
  <si>
    <t>Otros gastos no deducibles</t>
  </si>
  <si>
    <t>Multas y sanciones</t>
  </si>
  <si>
    <t>Ajustes al peso</t>
  </si>
  <si>
    <t>Seguridad asumida</t>
  </si>
  <si>
    <t>Aportes seguridad Curador INCRNGO</t>
  </si>
  <si>
    <r>
      <t>Ud. Puede diligenciar las celdas desprotegidas en cada hoja de acuerdo a sus intereses. Si se desplaza con la tecla "</t>
    </r>
    <r>
      <rPr>
        <b/>
        <i/>
        <sz val="10"/>
        <color rgb="FFC00000"/>
        <rFont val="Arial"/>
        <family val="2"/>
      </rPr>
      <t>flecha derecha</t>
    </r>
    <r>
      <rPr>
        <b/>
        <i/>
        <sz val="10"/>
        <rFont val="Arial"/>
        <family val="2"/>
      </rPr>
      <t>" las ubicará facilmente.</t>
    </r>
  </si>
  <si>
    <t>Actividad económica Principal</t>
  </si>
  <si>
    <t>1% de compras con FRA Electrónica</t>
  </si>
  <si>
    <t>Datos de Dependiente 1: ( Uno cualquiera de ellos, padres  hijos o conyuge no declarante)</t>
  </si>
  <si>
    <t>Datos de Dependiente 2: ( Uno cualquiera de ellos, padres  hijos o conyuge no declarante)</t>
  </si>
  <si>
    <t>Datos de Dependiente 3: ( Uno cualquiera de ellos, padres  hijos o conyuge no declarante)</t>
  </si>
  <si>
    <t>Datos de Dependiente 4: ( Uno cualquiera de ellos, padres  hijos o conyuge no declarante)</t>
  </si>
  <si>
    <t>Rentas de trabajo que no provengan de una relación laboral o legal y reglamentaria</t>
  </si>
  <si>
    <t>3211 Fabricación de joyas y artículos conexos</t>
  </si>
  <si>
    <t>3212 Fabricación de bisutería y artículos conexos</t>
  </si>
  <si>
    <t>Pagos por salarios</t>
  </si>
  <si>
    <t>Pagos con bonos electrónicos</t>
  </si>
  <si>
    <t>Exceso de los pagos x alimentación</t>
  </si>
  <si>
    <t>Gastos de Representación</t>
  </si>
  <si>
    <t>Ingresos del Exterior</t>
  </si>
  <si>
    <t>Limitación en UVT (1.340)</t>
  </si>
  <si>
    <t>1% facturas electrónicas</t>
  </si>
  <si>
    <t xml:space="preserve"> Toma el valor de la carpeta de datos</t>
  </si>
  <si>
    <t>No aparece como informativo en el formulario oficial - Diligencielo y junto con las "Pilas" guárdelo como soporte</t>
  </si>
  <si>
    <t>Cédula de Rentas de Trabajo</t>
  </si>
  <si>
    <t>Cédula de Rentas de Capital</t>
  </si>
  <si>
    <t>Cédula de Rentas no Laborales</t>
  </si>
  <si>
    <t>ANEXO DE COSTOS Y DEDUCCIONES PROCEDENTES</t>
  </si>
  <si>
    <t>Dividendos y Participaciones recibidas del exterior</t>
  </si>
  <si>
    <t>Dividendos y participaciones recibidas del exterior</t>
  </si>
  <si>
    <t>Renta liquida gravable (Cédula general o renta presuntiva, de pensiones y dividendos y participaciones)</t>
  </si>
  <si>
    <t>R-97  Renta líquida gravable cédula general</t>
  </si>
  <si>
    <t>R-103  Renta líquida gravable cédula de pensiones</t>
  </si>
  <si>
    <t>R-98  Renta Presuntiva</t>
  </si>
  <si>
    <t>R -111 Renta líquida gravable</t>
  </si>
  <si>
    <t>Cédula general, de pensiones y de dividendos y participaciones</t>
  </si>
  <si>
    <t>Presuntiva, cédula de pensiones y de dividendos y participaciones</t>
  </si>
  <si>
    <t>Dividendos y participaciones año 2016</t>
  </si>
  <si>
    <t>Por dividendos y participaciones recibidas del exterior</t>
  </si>
  <si>
    <t>Impuestos sobre las rentas líquidas gravables</t>
  </si>
  <si>
    <t>Cédula de dividendos  y/o participaciones</t>
  </si>
  <si>
    <t>Dividendos, participaciones y otros</t>
  </si>
  <si>
    <t>Descuento Tributario por dividendos, participaciones declarados en los términos del artículo 331 ET</t>
  </si>
  <si>
    <t>&gt;1090</t>
  </si>
  <si>
    <t>TABLA NRO. 1</t>
  </si>
  <si>
    <t>TABLA NRO. 2</t>
  </si>
  <si>
    <t>TABLA NRO. 3</t>
  </si>
  <si>
    <t>TABLA NRO. 4</t>
  </si>
  <si>
    <t>BASE</t>
  </si>
  <si>
    <t>Impuesto neto de renta año anterior</t>
  </si>
  <si>
    <t>Impuesto neto de renta año actual</t>
  </si>
  <si>
    <t>Número de dependientes económicos</t>
  </si>
  <si>
    <t>Descuento adicional Dependientes - tomado de anexo contador</t>
  </si>
  <si>
    <t>Revise el límite del 40% y de las 1.340 UVT</t>
  </si>
  <si>
    <t>Adición por dependientes a la casilla 92</t>
  </si>
  <si>
    <t>Ud. Superó tope indicado Art. 336-1 ET, marque "x"</t>
  </si>
  <si>
    <t>Aporte voluntario</t>
  </si>
  <si>
    <t>28, Uno por ciento (1%) de compras con factura electrónica</t>
  </si>
  <si>
    <t>Deducc imputables</t>
  </si>
  <si>
    <t>Renta líquida gravable (Cédula general o renta presuntiva, de pensiones y dividendos y participaciones</t>
  </si>
  <si>
    <t>Ud superó tope indicativo art 336-1 ET marque  X</t>
  </si>
  <si>
    <t>Número de dependientas económicos</t>
  </si>
  <si>
    <t xml:space="preserve">  Firma contador</t>
  </si>
  <si>
    <t>Presuntiva, cédula de pensiones y e dividendos y participaciones</t>
  </si>
  <si>
    <t>Dividendos, partic. y otros</t>
  </si>
  <si>
    <t>Total descuentos trib.</t>
  </si>
  <si>
    <t>Descuento por impuestos pagados en el exterior por ganan ocasionales</t>
  </si>
  <si>
    <t xml:space="preserve">Retenciones año gravable a declarar   </t>
  </si>
  <si>
    <t>Liquidación Privada</t>
  </si>
  <si>
    <t>Declaración de renta y complementario personas naturales y asimiladas  residentes y sucesiones iliquidas de causantes residentes</t>
  </si>
  <si>
    <t>Anexo Nro. 07</t>
  </si>
  <si>
    <t>Anexo Nro. 08</t>
  </si>
  <si>
    <t>Impuesto Neto de Renta año Anterior</t>
  </si>
  <si>
    <t>Impuesto Neto de Renta esta declaración</t>
  </si>
  <si>
    <t>Requisitos de Porcenajes</t>
  </si>
  <si>
    <t>DEBE CUMPLIR REQUISITOS FORMALES Y EL  PORCENTAJE DE INCREMENTO DEL 35% O DEL 25%</t>
  </si>
  <si>
    <t>VERIFICACIÓN  BENEFICIO  DE  AUDITORÍA</t>
  </si>
  <si>
    <t>Rta exenta y ded imputables limitadas</t>
  </si>
  <si>
    <t>Comp por exceso renta presuntiva</t>
  </si>
  <si>
    <t xml:space="preserve">Otros   </t>
  </si>
  <si>
    <r>
      <t xml:space="preserve">Cualquier comentario o sugerencia con gusto los recibiremos en nuestro whatsApp </t>
    </r>
    <r>
      <rPr>
        <b/>
        <i/>
        <sz val="10"/>
        <color rgb="FFC00000"/>
        <rFont val="Arial"/>
        <family val="2"/>
      </rPr>
      <t>310 503 0050</t>
    </r>
    <r>
      <rPr>
        <b/>
        <i/>
        <sz val="10"/>
        <rFont val="Arial"/>
        <family val="2"/>
      </rPr>
      <t xml:space="preserve"> o en nuestro email</t>
    </r>
    <r>
      <rPr>
        <b/>
        <i/>
        <sz val="10"/>
        <color rgb="FFC00000"/>
        <rFont val="Arial"/>
        <family val="2"/>
      </rPr>
      <t xml:space="preserve"> octpereira@hotmail.com</t>
    </r>
  </si>
  <si>
    <t>Bienes Raices Rurales</t>
  </si>
  <si>
    <t>Tipo de bien</t>
  </si>
  <si>
    <t xml:space="preserve">C </t>
  </si>
  <si>
    <t>.</t>
  </si>
  <si>
    <t>Estado de Situación Financiera  a Diciembre 31</t>
  </si>
  <si>
    <t>AÑO</t>
  </si>
  <si>
    <t>ACTIVO</t>
  </si>
  <si>
    <t>ACTIVO CORRIENTE</t>
  </si>
  <si>
    <t>Efectivo y Equivalente a Efectivo</t>
  </si>
  <si>
    <t>Deudores</t>
  </si>
  <si>
    <t>Total Activos Corrientes:</t>
  </si>
  <si>
    <t>ACTIVO NO CORRIENTE</t>
  </si>
  <si>
    <t>Propiedad, Planta y Equipo</t>
  </si>
  <si>
    <t>Total Activos No Corrientes:</t>
  </si>
  <si>
    <t>TOTAL ACTIVOS:</t>
  </si>
  <si>
    <t>PASIVO</t>
  </si>
  <si>
    <t>PASIVO CORRIENTE Y NO CORRIENTE</t>
  </si>
  <si>
    <t>Obligaciones Financieras + Proveedores + Cuentas por Pagar + Impuestos por Pagar + Beneficios a Empleados</t>
  </si>
  <si>
    <t>Total Pasivos:</t>
  </si>
  <si>
    <t>PATRIMONIO</t>
  </si>
  <si>
    <t>Capital de Persona Natural</t>
  </si>
  <si>
    <t>Utilidad (o Perdida) del Ejercicio</t>
  </si>
  <si>
    <t>TOTAL PASIVO + PATRIMONIO:</t>
  </si>
  <si>
    <t>Estado de Resultados Enero a Diciembre</t>
  </si>
  <si>
    <t>INGRESOS</t>
  </si>
  <si>
    <t>Rentas Brutas Laborales</t>
  </si>
  <si>
    <t>Rentas Brutas Independientes</t>
  </si>
  <si>
    <t>Rentas Brutas de Capital</t>
  </si>
  <si>
    <t>Rentas Brutas No Laborales</t>
  </si>
  <si>
    <t>Rentas x Dividendos y Particip</t>
  </si>
  <si>
    <t>Rentas Pasivas</t>
  </si>
  <si>
    <t>Total Ingresos Brutos</t>
  </si>
  <si>
    <t>Devoluciones y Descuentos</t>
  </si>
  <si>
    <t>Total Ingresos Netos</t>
  </si>
  <si>
    <t>COSTOS Y GASTOS</t>
  </si>
  <si>
    <t>Costos y Deducciones Procedentes</t>
  </si>
  <si>
    <t>Deducciones Imputables</t>
  </si>
  <si>
    <t>Utilidad Antes Impuestos</t>
  </si>
  <si>
    <t>Costos Ganancia Ocasional</t>
  </si>
  <si>
    <t>Impuesto de Renta</t>
  </si>
  <si>
    <t>Utilidad Neta:</t>
  </si>
  <si>
    <t>CONCILIACION DE LA UTILIDAD NETA:</t>
  </si>
  <si>
    <t>Renta Gravable</t>
  </si>
  <si>
    <t>Ganancia Ocasiona Gravable</t>
  </si>
  <si>
    <t>Dividendos Gravables</t>
  </si>
  <si>
    <t>Rentas Exentas</t>
  </si>
  <si>
    <t>Ingresos No Constit Renta</t>
  </si>
  <si>
    <t>Rentas Especiales Gravables</t>
  </si>
  <si>
    <t>G.O Exenta</t>
  </si>
  <si>
    <t>Pensiones Gravadas</t>
  </si>
  <si>
    <t xml:space="preserve"> - impuestos</t>
  </si>
  <si>
    <t>Diferencia por Limitacion de Renta Exenta y Deducciones imputables y por Rentas Especiales de Activos omitidos s y pasivos inexistentes</t>
  </si>
  <si>
    <t>TOTAL UTILIDAD CAPITABLIZABLE</t>
  </si>
  <si>
    <t>Su impuesto Neto de Renta 2024 es mayor a 71 UVT?  = $ 3.342.000</t>
  </si>
  <si>
    <t>Claves DIAN</t>
  </si>
  <si>
    <t>Omar de J. Cardona Toro</t>
  </si>
  <si>
    <t>CPT - Universidad de Manizales</t>
  </si>
  <si>
    <t>Asesor Empresarial</t>
  </si>
  <si>
    <t>Entregamos esta herramienta deseando le sea útil en la elaboración de su declaranción de renta año 2025</t>
  </si>
  <si>
    <t>CÓDIGOS CIIU ADOPTADOS DIAN MEDIANTE RESOLUCIÓN</t>
  </si>
  <si>
    <t>NRO.  000114 DE DICIEMBRE 21 DE 2020,</t>
  </si>
  <si>
    <t>RES, Nro. 001232 DE SEPTIEMBRE 16 DE 2022 Y RES, Nro, 000086 DE MAYO 24 DE 2023</t>
  </si>
  <si>
    <t>Clasificación   Industrial   Internacional   Uniforme</t>
  </si>
  <si>
    <t>OJO - Hasta 790 UVT = $ 39,341,000</t>
  </si>
  <si>
    <t>Hola !</t>
  </si>
  <si>
    <t>Decreto  0449  de  abril  27  de  2026</t>
  </si>
  <si>
    <t>Anexo de Análisis del Costo Fiscal de Inmuebles y acciones</t>
  </si>
  <si>
    <t>Ajuste Fiscal 2025   5,81 %</t>
  </si>
  <si>
    <t>Costo Ajustado 2025</t>
  </si>
  <si>
    <t>Avalúo Catastral 2025</t>
  </si>
  <si>
    <t>DATOS DE LA DECLARACION DEL AÑO ANTERIOR</t>
  </si>
  <si>
    <t>OPCION TRADICIONAL AÑO 2025</t>
  </si>
  <si>
    <t>DECRETO 0449 DE ABRIL 27 DE 2026</t>
  </si>
  <si>
    <t>Resumen tomado del Decreto 0449 de Abril 27 de 2026 vigente para declaración  año 2025</t>
  </si>
  <si>
    <t>Resumen tomado del Decreto 0449 de Abril 27 de 2026  vigente para declaración año 2025</t>
  </si>
  <si>
    <t>Los contribuyentes pueden ajustar el costo de los activos fijos por el año gravable 2025, en 5,81 % de acuerdo a lo previsto en el Art. 70 ET.</t>
  </si>
  <si>
    <t>Para efectos de determinar la renta o ganancia ocasional, según el caso, proveniente de la enajenación durante el año gravable 2025, de bienes raices y de acciones o aportes que tengan el carácter de activos fijos, los contribuyentes que sean personas naturales podrán tomar como costo fiscal cualquiera de los siguientes valores:</t>
  </si>
  <si>
    <t>Costo fiscal de la declaración de Renta 1986 multiplicado por 55.27 si se trata de acciones o aportes ;  por 443.02 en el caso de bienes raices urbanos,  por 429,25  si son bienes rurales dedicados a actividades agropecuarias y por 437,46 si son bienes raices rurales.</t>
  </si>
  <si>
    <t>Acciones ó Aportes</t>
  </si>
  <si>
    <t>Facotr Bienes Raices Urbanos</t>
  </si>
  <si>
    <t>Factor Bienes Raices Agropecuarios</t>
  </si>
  <si>
    <t>Factor Bienes Raices Rurales</t>
  </si>
  <si>
    <t>OPCION DECRETO 0449 de 2026</t>
  </si>
  <si>
    <t>Ajuste Sgn D.0449</t>
  </si>
  <si>
    <t>PARÁGRAFO: El costo fiscal de los bienes raices determinado de acuerdo con este artículo, podrá ser tomado como valor patrimonial en la declaración de renta y complementarios del año gravable 2025.</t>
  </si>
  <si>
    <t>AJUSTE PARA ACCIONES, APORTES E  INMUEBLES</t>
  </si>
  <si>
    <t>Bienes Raices Urbanos</t>
  </si>
  <si>
    <t>Bienes Raices Agropecuarios</t>
  </si>
  <si>
    <t>http://octpereira.com</t>
  </si>
  <si>
    <t>Vencimientos para la Presentación de las Declaraciones de Renta Personas Naturales y Sucesiones Ilíquidas año Grvable 2025 - Residentes y No Residentes.</t>
  </si>
  <si>
    <t>*</t>
  </si>
  <si>
    <t>* Tenga en cuenta que mediante Decreto 1226 de Agosto 18 de 2026 los Nits terminados en 01 hasta 26 que se vencian en Agosto se trasladaron para Octubre y Noviembre por consecuencia del terremoto del 10 de Agosto. Solo aplica para los municipios afectados y pertenecientes a las seccionales DIAN Nros. 05 Cali - 15 Palmira - 21 Tulua - 35 Buenaventura - 16 Pereira -01 Armenia 10 Manizales - 18 Quibdó -17 Popayán.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</si>
</sst>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$&quot;\ * #,##0.00_-;\-&quot;$&quot;\ * #,##0.00_-;_-&quot;$&quot;\ * &quot;-&quot;??_-;_-@_-"/>
    <numFmt numFmtId="164" formatCode="_-* #,##0.00\ _€_-;\-* #,##0.00\ _€_-;_-* &quot;-&quot;??\ _€_-;_-@_-"/>
    <numFmt numFmtId="165" formatCode="#,##0_ ;[Red]\-#,##0\ "/>
    <numFmt numFmtId="166" formatCode="#,##0.00_ ;[Red]\-#,##0.00\ "/>
    <numFmt numFmtId="167" formatCode="0_ ;[Red]\-0\ "/>
    <numFmt numFmtId="168" formatCode="_-* #,##0\ _€_-;\-* #,##0\ _€_-;_-* &quot;-&quot;??\ _€_-;_-@_-"/>
    <numFmt numFmtId="169" formatCode="0_);[Red]\(0\)"/>
    <numFmt numFmtId="170" formatCode="ddd\-dd\-mmm\-yyyy"/>
    <numFmt numFmtId="171" formatCode="_-&quot;$&quot;\ * #,##0_-;\-&quot;$&quot;\ * #,##0_-;_-&quot;$&quot;\ * &quot;-&quot;??_-;_-@_-"/>
    <numFmt numFmtId="172" formatCode="0.0%"/>
    <numFmt numFmtId="173" formatCode="#,##0_ ;\-#,##0\ "/>
  </numFmts>
  <fonts count="15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9"/>
      <color indexed="12"/>
      <name val="Tahom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indexed="3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20"/>
      <name val="Georgia"/>
      <family val="1"/>
    </font>
    <font>
      <b/>
      <sz val="36"/>
      <color indexed="9"/>
      <name val="Arial"/>
      <family val="2"/>
    </font>
    <font>
      <b/>
      <sz val="7"/>
      <name val="Arial"/>
      <family val="2"/>
    </font>
    <font>
      <b/>
      <i/>
      <sz val="14"/>
      <color indexed="20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i/>
      <sz val="9"/>
      <color indexed="12"/>
      <name val="Arial Narrow"/>
      <family val="2"/>
    </font>
    <font>
      <sz val="10"/>
      <color indexed="10"/>
      <name val="Arial Narrow"/>
      <family val="2"/>
    </font>
    <font>
      <b/>
      <sz val="10"/>
      <color theme="5" tint="-0.249977111117893"/>
      <name val="Arial Narrow"/>
      <family val="2"/>
    </font>
    <font>
      <b/>
      <sz val="11"/>
      <color theme="5" tint="-0.249977111117893"/>
      <name val="Arial Narrow"/>
      <family val="2"/>
    </font>
    <font>
      <b/>
      <sz val="9"/>
      <color theme="0"/>
      <name val="Bookman Old Style"/>
      <family val="1"/>
    </font>
    <font>
      <sz val="10"/>
      <color theme="0"/>
      <name val="Arial Narrow"/>
      <family val="2"/>
    </font>
    <font>
      <b/>
      <i/>
      <sz val="10"/>
      <color indexed="9"/>
      <name val="Arial Narrow"/>
      <family val="2"/>
    </font>
    <font>
      <b/>
      <sz val="10"/>
      <color theme="4" tint="-0.249977111117893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theme="6" tint="-0.249977111117893"/>
      <name val="Arial"/>
      <family val="2"/>
    </font>
    <font>
      <b/>
      <i/>
      <sz val="11"/>
      <name val="Arial Narrow"/>
      <family val="2"/>
    </font>
    <font>
      <sz val="10"/>
      <name val="Arial Black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indexed="2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C00000"/>
      <name val="Arial Narrow"/>
      <family val="2"/>
    </font>
    <font>
      <b/>
      <i/>
      <sz val="12"/>
      <color indexed="20"/>
      <name val="Calibri"/>
      <family val="2"/>
      <scheme val="minor"/>
    </font>
    <font>
      <b/>
      <sz val="12"/>
      <name val="Arial Narrow"/>
      <family val="2"/>
    </font>
    <font>
      <b/>
      <sz val="11"/>
      <color rgb="FFFF0000"/>
      <name val="Arial Narrow"/>
      <family val="2"/>
    </font>
    <font>
      <b/>
      <i/>
      <sz val="14"/>
      <color indexed="9"/>
      <name val="Arial Narrow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30"/>
      <name val="Calibri"/>
      <family val="2"/>
      <scheme val="minor"/>
    </font>
    <font>
      <b/>
      <sz val="12"/>
      <color indexed="12"/>
      <name val="Arial"/>
      <family val="2"/>
    </font>
    <font>
      <b/>
      <sz val="12"/>
      <name val="Calibri"/>
      <family val="2"/>
      <scheme val="minor"/>
    </font>
    <font>
      <b/>
      <sz val="10"/>
      <color theme="0"/>
      <name val="Arial Narrow"/>
      <family val="2"/>
    </font>
    <font>
      <b/>
      <sz val="26"/>
      <color rgb="FFFF0000"/>
      <name val="Arial"/>
      <family val="2"/>
    </font>
    <font>
      <b/>
      <sz val="10"/>
      <name val="Cambria"/>
      <family val="1"/>
      <scheme val="major"/>
    </font>
    <font>
      <b/>
      <i/>
      <sz val="9"/>
      <name val="Arial"/>
      <family val="2"/>
    </font>
    <font>
      <b/>
      <i/>
      <sz val="9"/>
      <color rgb="FF0070C0"/>
      <name val="Andalus"/>
      <family val="1"/>
    </font>
    <font>
      <u/>
      <sz val="10"/>
      <color theme="10"/>
      <name val="Arial"/>
      <family val="2"/>
    </font>
    <font>
      <b/>
      <sz val="9"/>
      <color rgb="FFC00000"/>
      <name val="Arial Narrow"/>
      <family val="2"/>
    </font>
    <font>
      <b/>
      <sz val="10"/>
      <color rgb="FF0070C0"/>
      <name val="Arial Narrow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0"/>
      <name val="Arial Narrow"/>
      <family val="2"/>
    </font>
    <font>
      <sz val="12"/>
      <name val="Arial Narrow"/>
      <family val="2"/>
    </font>
    <font>
      <b/>
      <sz val="10"/>
      <color indexed="10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0"/>
      <name val="Arial Narrow"/>
      <family val="2"/>
    </font>
    <font>
      <b/>
      <i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sz val="12"/>
      <name val="Arial"/>
      <family val="2"/>
    </font>
    <font>
      <b/>
      <i/>
      <sz val="9"/>
      <color rgb="FFFF0000"/>
      <name val="Calibri"/>
      <family val="2"/>
      <scheme val="minor"/>
    </font>
    <font>
      <b/>
      <i/>
      <sz val="10"/>
      <name val="Arial"/>
      <family val="2"/>
    </font>
    <font>
      <b/>
      <i/>
      <sz val="10"/>
      <color rgb="FF0070C0"/>
      <name val="Arial"/>
      <family val="2"/>
    </font>
    <font>
      <b/>
      <sz val="10"/>
      <color rgb="FFC00000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C00000"/>
      <name val="Arial Narrow"/>
      <family val="2"/>
    </font>
    <font>
      <sz val="10"/>
      <name val="Arial"/>
      <family val="2"/>
    </font>
    <font>
      <b/>
      <sz val="9"/>
      <color rgb="FFFF0000"/>
      <name val="Arial Narrow"/>
      <family val="2"/>
    </font>
    <font>
      <b/>
      <sz val="9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rgb="FFC00000"/>
      <name val="Arial Narrow"/>
      <family val="2"/>
    </font>
    <font>
      <b/>
      <i/>
      <sz val="9"/>
      <color indexed="10"/>
      <name val="Arial"/>
      <family val="2"/>
    </font>
    <font>
      <b/>
      <i/>
      <sz val="12"/>
      <color indexed="10"/>
      <name val="Arial"/>
      <family val="2"/>
    </font>
    <font>
      <b/>
      <sz val="9"/>
      <color indexed="10"/>
      <name val="Arial"/>
      <family val="2"/>
    </font>
    <font>
      <b/>
      <sz val="8"/>
      <color theme="0" tint="-0.249977111117893"/>
      <name val="Arial"/>
      <family val="2"/>
    </font>
    <font>
      <b/>
      <i/>
      <sz val="6"/>
      <color rgb="FFFF0000"/>
      <name val="Arial"/>
      <family val="2"/>
    </font>
    <font>
      <b/>
      <sz val="8"/>
      <color rgb="FFFF0000"/>
      <name val="Arial"/>
      <family val="2"/>
    </font>
    <font>
      <b/>
      <i/>
      <sz val="10"/>
      <name val="Arial Narrow"/>
      <family val="2"/>
    </font>
    <font>
      <sz val="11"/>
      <name val="Calibri"/>
      <family val="2"/>
      <scheme val="minor"/>
    </font>
    <font>
      <b/>
      <sz val="8"/>
      <color theme="0"/>
      <name val="Arial"/>
      <family val="2"/>
    </font>
    <font>
      <b/>
      <sz val="12"/>
      <name val="Baskerville Old Face"/>
      <family val="1"/>
    </font>
    <font>
      <sz val="6"/>
      <name val="Calibri"/>
      <family val="2"/>
      <scheme val="minor"/>
    </font>
    <font>
      <b/>
      <sz val="7"/>
      <color theme="5" tint="-0.249977111117893"/>
      <name val="Arial Narrow"/>
      <family val="2"/>
    </font>
    <font>
      <b/>
      <sz val="16"/>
      <color rgb="FFC00000"/>
      <name val="Arial Narrow"/>
      <family val="2"/>
    </font>
    <font>
      <b/>
      <sz val="14"/>
      <name val="Castellar"/>
      <family val="1"/>
    </font>
    <font>
      <sz val="7"/>
      <name val="Arial"/>
      <family val="2"/>
    </font>
    <font>
      <b/>
      <sz val="6"/>
      <name val="Arial Narrow"/>
      <family val="2"/>
    </font>
    <font>
      <b/>
      <sz val="7"/>
      <name val="Arial Narrow"/>
      <family val="2"/>
    </font>
    <font>
      <b/>
      <sz val="8"/>
      <color rgb="FF0070C0"/>
      <name val="Arial"/>
      <family val="2"/>
    </font>
    <font>
      <b/>
      <i/>
      <sz val="9"/>
      <color rgb="FFC00000"/>
      <name val="Arial"/>
      <family val="2"/>
    </font>
    <font>
      <b/>
      <i/>
      <sz val="8"/>
      <color indexed="48"/>
      <name val="Tahoma"/>
      <family val="2"/>
    </font>
    <font>
      <b/>
      <i/>
      <sz val="8"/>
      <color indexed="48"/>
      <name val="Arial"/>
      <family val="2"/>
    </font>
    <font>
      <b/>
      <i/>
      <sz val="9"/>
      <color indexed="30"/>
      <name val="Tahoma"/>
      <family val="2"/>
    </font>
    <font>
      <sz val="10"/>
      <color theme="0" tint="-0.249977111117893"/>
      <name val="Arial Narrow"/>
      <family val="2"/>
    </font>
    <font>
      <b/>
      <sz val="10"/>
      <color theme="0" tint="-0.249977111117893"/>
      <name val="Arial Narrow"/>
      <family val="2"/>
    </font>
    <font>
      <sz val="10"/>
      <color rgb="FFFF0000"/>
      <name val="Arial Narrow"/>
      <family val="2"/>
    </font>
    <font>
      <b/>
      <sz val="10"/>
      <color rgb="FFFFFFFF"/>
      <name val="Arial Narrow"/>
      <family val="2"/>
    </font>
    <font>
      <sz val="10"/>
      <color rgb="FFBFBFBF"/>
      <name val="Arial Narrow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4"/>
      <name val="Arial Narrow"/>
      <family val="2"/>
    </font>
    <font>
      <b/>
      <i/>
      <sz val="12"/>
      <name val="Agency FB"/>
      <family val="2"/>
    </font>
    <font>
      <b/>
      <sz val="9"/>
      <color indexed="48"/>
      <name val="Tahoma"/>
      <family val="2"/>
    </font>
    <font>
      <sz val="9"/>
      <name val="Calibri"/>
      <family val="2"/>
      <scheme val="minor"/>
    </font>
    <font>
      <b/>
      <i/>
      <sz val="10"/>
      <color rgb="FFC00000"/>
      <name val="Baskerville Old Face"/>
      <family val="1"/>
    </font>
    <font>
      <b/>
      <i/>
      <sz val="14"/>
      <color theme="5" tint="-0.249977111117893"/>
      <name val="Arial Narrow"/>
      <family val="2"/>
    </font>
    <font>
      <sz val="8"/>
      <color theme="6" tint="0.59999389629810485"/>
      <name val="Arial Narrow"/>
      <family val="2"/>
    </font>
    <font>
      <b/>
      <i/>
      <sz val="12"/>
      <color rgb="FFC00000"/>
      <name val="Baskerville Old Face"/>
      <family val="1"/>
    </font>
    <font>
      <b/>
      <i/>
      <sz val="10"/>
      <color rgb="FFC00000"/>
      <name val="Arial Narrow"/>
      <family val="2"/>
    </font>
    <font>
      <sz val="8"/>
      <color theme="0" tint="-0.249977111117893"/>
      <name val="Arial"/>
      <family val="2"/>
    </font>
    <font>
      <sz val="10"/>
      <color theme="9" tint="0.79998168889431442"/>
      <name val="Arial Narrow"/>
      <family val="2"/>
    </font>
    <font>
      <sz val="14"/>
      <name val="Arial Narrow"/>
      <family val="2"/>
    </font>
    <font>
      <b/>
      <sz val="8"/>
      <color rgb="FFC00000"/>
      <name val="Calibri"/>
      <family val="2"/>
      <scheme val="minor"/>
    </font>
    <font>
      <sz val="10"/>
      <color rgb="FF0070C0"/>
      <name val="Arial Narrow"/>
      <family val="2"/>
    </font>
    <font>
      <b/>
      <i/>
      <sz val="10"/>
      <color rgb="FFC00000"/>
      <name val="Arial"/>
      <family val="2"/>
    </font>
    <font>
      <b/>
      <sz val="12"/>
      <color rgb="FFC00000"/>
      <name val="Baskerville Old Face"/>
      <family val="1"/>
    </font>
    <font>
      <b/>
      <i/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theme="0"/>
      <name val="Calibri"/>
      <family val="2"/>
      <scheme val="minor"/>
    </font>
    <font>
      <b/>
      <i/>
      <sz val="14"/>
      <color rgb="FFC00000"/>
      <name val="Arial"/>
      <family val="2"/>
    </font>
    <font>
      <b/>
      <i/>
      <sz val="14"/>
      <color rgb="FFFF0000"/>
      <name val="Arial"/>
      <family val="2"/>
    </font>
    <font>
      <b/>
      <sz val="8"/>
      <color theme="0"/>
      <name val="Arial Narrow"/>
      <family val="2"/>
    </font>
    <font>
      <b/>
      <sz val="9"/>
      <color indexed="12"/>
      <name val="Tahoma"/>
      <family val="2"/>
    </font>
    <font>
      <sz val="10"/>
      <color indexed="81"/>
      <name val="Calibri"/>
      <family val="2"/>
      <scheme val="minor"/>
    </font>
    <font>
      <b/>
      <sz val="8"/>
      <color theme="8" tint="-0.249977111117893"/>
      <name val="Arial"/>
      <family val="2"/>
    </font>
    <font>
      <b/>
      <sz val="9"/>
      <color indexed="81"/>
      <name val="Calibri"/>
      <family val="2"/>
      <scheme val="minor"/>
    </font>
    <font>
      <b/>
      <sz val="26"/>
      <name val="Arial"/>
      <family val="2"/>
    </font>
    <font>
      <b/>
      <sz val="20"/>
      <color rgb="FFC00000"/>
      <name val="Baskerville Old Face"/>
      <family val="1"/>
    </font>
    <font>
      <sz val="12"/>
      <color rgb="FF000000"/>
      <name val="Arial"/>
      <family val="2"/>
    </font>
    <font>
      <b/>
      <u/>
      <sz val="10"/>
      <name val="Arial"/>
      <family val="2"/>
    </font>
    <font>
      <b/>
      <sz val="14"/>
      <color rgb="FFFF0000"/>
      <name val="Arial Narrow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b/>
      <sz val="10"/>
      <color rgb="FFFF0000"/>
      <name val="Arial Narrow"/>
      <family val="2"/>
    </font>
    <font>
      <b/>
      <sz val="11"/>
      <color theme="0"/>
      <name val="Arial"/>
      <family val="2"/>
    </font>
    <font>
      <b/>
      <sz val="9"/>
      <color rgb="FFFFFFFF"/>
      <name val="Arial"/>
      <family val="2"/>
    </font>
    <font>
      <sz val="10"/>
      <color rgb="FFC00000"/>
      <name val="Arial"/>
      <family val="2"/>
    </font>
    <font>
      <b/>
      <sz val="28"/>
      <name val="Baskerville Old Face"/>
      <family val="1"/>
    </font>
  </fonts>
  <fills count="6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theme="0"/>
        </stop>
        <stop position="1">
          <color theme="0" tint="-0.25098422193060094"/>
        </stop>
      </gradient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 tint="-0.249977111117893"/>
        <bgColor auto="1"/>
      </pattern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gradientFill degree="90">
        <stop position="0">
          <color theme="0"/>
        </stop>
        <stop position="1">
          <color theme="6" tint="0.59999389629810485"/>
        </stop>
      </gradientFill>
    </fill>
    <fill>
      <gradientFill degree="90">
        <stop position="0">
          <color theme="0"/>
        </stop>
        <stop position="1">
          <color theme="3" tint="0.80001220740379042"/>
        </stop>
      </gradient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gradientFill degree="90">
        <stop position="0">
          <color theme="0"/>
        </stop>
        <stop position="1">
          <color theme="6" tint="0.40000610370189521"/>
        </stop>
      </gradientFill>
    </fill>
    <fill>
      <gradientFill degree="90">
        <stop position="0">
          <color theme="0"/>
        </stop>
        <stop position="1">
          <color theme="3" tint="0.40000610370189521"/>
        </stop>
      </gradient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auto="1"/>
      </patternFill>
    </fill>
    <fill>
      <gradientFill degree="90">
        <stop position="0">
          <color theme="3" tint="0.40000610370189521"/>
        </stop>
        <stop position="1">
          <color theme="5" tint="-0.25098422193060094"/>
        </stop>
      </gradientFill>
    </fill>
    <fill>
      <patternFill patternType="solid">
        <fgColor theme="1" tint="4.9989318521683403E-2"/>
        <bgColor indexed="64"/>
      </patternFill>
    </fill>
    <fill>
      <gradientFill degree="90">
        <stop position="0">
          <color theme="0"/>
        </stop>
        <stop position="1">
          <color theme="4" tint="0.40000610370189521"/>
        </stop>
      </gradientFill>
    </fill>
    <fill>
      <gradientFill degree="90">
        <stop position="0">
          <color theme="4" tint="0.80001220740379042"/>
        </stop>
        <stop position="1">
          <color theme="4" tint="0.40000610370189521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auto="1"/>
      </patternFill>
    </fill>
    <fill>
      <patternFill patternType="solid">
        <fgColor theme="4" tint="0.59999389629810485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auto="1"/>
      </patternFill>
    </fill>
    <fill>
      <patternFill patternType="solid">
        <fgColor rgb="FFFFFF99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2" tint="-9.9978637043366805E-2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gradientFill degree="90">
        <stop position="0">
          <color rgb="FFFFFFFF"/>
        </stop>
        <stop position="1">
          <color rgb="FFDDE7F2"/>
        </stop>
      </gradientFill>
    </fill>
    <fill>
      <patternFill patternType="solid">
        <fgColor rgb="FF76933C"/>
        <bgColor rgb="FF000000"/>
      </patternFill>
    </fill>
    <fill>
      <patternFill patternType="solid">
        <fgColor theme="6" tint="-0.249977111117893"/>
        <bgColor auto="1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auto="1"/>
      </pattern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rgb="FFC0C0C0"/>
        <bgColor rgb="FF000000"/>
      </patternFill>
    </fill>
    <fill>
      <gradientFill degree="90">
        <stop position="0">
          <color rgb="FFFFFFFF"/>
        </stop>
        <stop position="1">
          <color rgb="FFBEBEBE"/>
        </stop>
      </gradientFill>
    </fill>
    <fill>
      <patternFill patternType="solid">
        <fgColor rgb="FFBFBFBF"/>
        <bgColor auto="1"/>
      </patternFill>
    </fill>
    <fill>
      <gradientFill degree="90">
        <stop position="0">
          <color rgb="FFFFFFFF"/>
        </stop>
        <stop position="1">
          <color rgb="FFB8CCE4"/>
        </stop>
      </gradientFill>
    </fill>
    <fill>
      <gradientFill degree="90">
        <stop position="0">
          <color rgb="FFFFFFFF"/>
        </stop>
        <stop position="1">
          <color rgb="FFFAC092"/>
        </stop>
      </gradientFill>
    </fill>
    <fill>
      <gradientFill degree="90">
        <stop position="0">
          <color rgb="FFFFFFFF"/>
        </stop>
        <stop position="1">
          <color rgb="FFC4D79B"/>
        </stop>
      </gradientFill>
    </fill>
    <fill>
      <gradientFill degree="90">
        <stop position="0">
          <color rgb="FFFFFFFF"/>
        </stop>
        <stop position="1">
          <color rgb="FFD8E4BC"/>
        </stop>
      </gradientFill>
    </fill>
    <fill>
      <gradientFill degree="90">
        <stop position="0">
          <color rgb="FFFFFFFF"/>
        </stop>
        <stop position="1">
          <color rgb="FFFCD5B4"/>
        </stop>
      </gradientFill>
    </fill>
    <fill>
      <patternFill patternType="solid">
        <fgColor rgb="FF0070C0"/>
        <bgColor rgb="FF000000"/>
      </patternFill>
    </fill>
    <fill>
      <gradientFill degree="90">
        <stop position="0">
          <color theme="0"/>
        </stop>
        <stop position="1">
          <color rgb="FF00B0F0"/>
        </stop>
      </gradientFill>
    </fill>
    <fill>
      <gradientFill degree="270">
        <stop position="0">
          <color theme="3" tint="0.80001220740379042"/>
        </stop>
        <stop position="1">
          <color theme="3" tint="0.59999389629810485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 style="thin">
        <color indexed="17"/>
      </left>
      <right/>
      <top style="thin">
        <color indexed="64"/>
      </top>
      <bottom style="thin">
        <color indexed="17"/>
      </bottom>
      <diagonal/>
    </border>
    <border>
      <left/>
      <right style="thin">
        <color indexed="17"/>
      </right>
      <top style="thin">
        <color indexed="64"/>
      </top>
      <bottom style="thin">
        <color indexed="17"/>
      </bottom>
      <diagonal/>
    </border>
    <border>
      <left style="thin">
        <color indexed="17"/>
      </left>
      <right/>
      <top style="thin">
        <color indexed="64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indexed="17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17"/>
      </left>
      <right style="thin">
        <color indexed="17"/>
      </right>
      <top style="thin">
        <color indexed="64"/>
      </top>
      <bottom style="thin">
        <color indexed="17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1" fillId="0" borderId="0" applyNumberFormat="0" applyFill="0" applyBorder="0" applyAlignment="0" applyProtection="0"/>
    <xf numFmtId="44" fontId="82" fillId="0" borderId="0" applyFont="0" applyFill="0" applyBorder="0" applyAlignment="0" applyProtection="0"/>
  </cellStyleXfs>
  <cellXfs count="1342">
    <xf numFmtId="0" fontId="0" fillId="0" borderId="0" xfId="0"/>
    <xf numFmtId="0" fontId="0" fillId="2" borderId="0" xfId="0" applyFill="1"/>
    <xf numFmtId="0" fontId="11" fillId="2" borderId="0" xfId="0" applyFont="1" applyFill="1"/>
    <xf numFmtId="0" fontId="21" fillId="2" borderId="0" xfId="0" applyFont="1" applyFill="1"/>
    <xf numFmtId="165" fontId="21" fillId="2" borderId="0" xfId="0" applyNumberFormat="1" applyFont="1" applyFill="1"/>
    <xf numFmtId="0" fontId="21" fillId="0" borderId="0" xfId="0" applyFont="1"/>
    <xf numFmtId="165" fontId="21" fillId="9" borderId="26" xfId="0" applyNumberFormat="1" applyFont="1" applyFill="1" applyBorder="1" applyProtection="1">
      <protection locked="0"/>
    </xf>
    <xf numFmtId="165" fontId="21" fillId="9" borderId="27" xfId="0" applyNumberFormat="1" applyFont="1" applyFill="1" applyBorder="1" applyProtection="1">
      <protection locked="0"/>
    </xf>
    <xf numFmtId="165" fontId="21" fillId="9" borderId="28" xfId="0" applyNumberFormat="1" applyFont="1" applyFill="1" applyBorder="1" applyProtection="1">
      <protection locked="0"/>
    </xf>
    <xf numFmtId="165" fontId="21" fillId="7" borderId="0" xfId="0" applyNumberFormat="1" applyFont="1" applyFill="1"/>
    <xf numFmtId="0" fontId="21" fillId="7" borderId="0" xfId="0" applyFont="1" applyFill="1" applyAlignment="1">
      <alignment horizontal="center"/>
    </xf>
    <xf numFmtId="0" fontId="21" fillId="7" borderId="0" xfId="0" applyFont="1" applyFill="1"/>
    <xf numFmtId="0" fontId="21" fillId="5" borderId="5" xfId="0" applyFont="1" applyFill="1" applyBorder="1"/>
    <xf numFmtId="0" fontId="21" fillId="5" borderId="0" xfId="0" applyFont="1" applyFill="1"/>
    <xf numFmtId="10" fontId="20" fillId="2" borderId="0" xfId="2" applyNumberFormat="1" applyFont="1" applyFill="1"/>
    <xf numFmtId="165" fontId="20" fillId="2" borderId="0" xfId="0" applyNumberFormat="1" applyFont="1" applyFill="1"/>
    <xf numFmtId="165" fontId="22" fillId="7" borderId="0" xfId="0" applyNumberFormat="1" applyFont="1" applyFill="1"/>
    <xf numFmtId="165" fontId="22" fillId="4" borderId="0" xfId="0" applyNumberFormat="1" applyFont="1" applyFill="1"/>
    <xf numFmtId="0" fontId="23" fillId="7" borderId="0" xfId="0" applyFont="1" applyFill="1"/>
    <xf numFmtId="165" fontId="23" fillId="7" borderId="0" xfId="0" applyNumberFormat="1" applyFont="1" applyFill="1"/>
    <xf numFmtId="0" fontId="23" fillId="0" borderId="0" xfId="0" applyFont="1"/>
    <xf numFmtId="0" fontId="23" fillId="2" borderId="0" xfId="0" applyFont="1" applyFill="1"/>
    <xf numFmtId="0" fontId="23" fillId="2" borderId="9" xfId="0" applyFont="1" applyFill="1" applyBorder="1"/>
    <xf numFmtId="0" fontId="22" fillId="4" borderId="4" xfId="0" applyFont="1" applyFill="1" applyBorder="1" applyAlignment="1">
      <alignment horizontal="center" vertical="center" wrapText="1"/>
    </xf>
    <xf numFmtId="165" fontId="23" fillId="2" borderId="0" xfId="0" applyNumberFormat="1" applyFont="1" applyFill="1"/>
    <xf numFmtId="3" fontId="23" fillId="2" borderId="0" xfId="0" applyNumberFormat="1" applyFont="1" applyFill="1"/>
    <xf numFmtId="0" fontId="22" fillId="7" borderId="0" xfId="0" applyFont="1" applyFill="1"/>
    <xf numFmtId="0" fontId="20" fillId="2" borderId="0" xfId="0" applyFont="1" applyFill="1"/>
    <xf numFmtId="0" fontId="22" fillId="7" borderId="5" xfId="0" applyFont="1" applyFill="1" applyBorder="1"/>
    <xf numFmtId="0" fontId="26" fillId="2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23" fillId="4" borderId="17" xfId="0" applyFont="1" applyFill="1" applyBorder="1"/>
    <xf numFmtId="0" fontId="23" fillId="5" borderId="0" xfId="0" applyFont="1" applyFill="1"/>
    <xf numFmtId="3" fontId="23" fillId="7" borderId="0" xfId="0" applyNumberFormat="1" applyFont="1" applyFill="1"/>
    <xf numFmtId="0" fontId="22" fillId="2" borderId="0" xfId="0" applyFont="1" applyFill="1"/>
    <xf numFmtId="0" fontId="22" fillId="5" borderId="0" xfId="0" applyFont="1" applyFill="1"/>
    <xf numFmtId="165" fontId="23" fillId="5" borderId="0" xfId="0" applyNumberFormat="1" applyFont="1" applyFill="1"/>
    <xf numFmtId="3" fontId="22" fillId="7" borderId="0" xfId="0" applyNumberFormat="1" applyFont="1" applyFill="1"/>
    <xf numFmtId="0" fontId="22" fillId="4" borderId="17" xfId="0" applyFont="1" applyFill="1" applyBorder="1"/>
    <xf numFmtId="165" fontId="22" fillId="4" borderId="19" xfId="0" applyNumberFormat="1" applyFont="1" applyFill="1" applyBorder="1"/>
    <xf numFmtId="0" fontId="22" fillId="4" borderId="19" xfId="0" applyFont="1" applyFill="1" applyBorder="1"/>
    <xf numFmtId="0" fontId="22" fillId="4" borderId="20" xfId="0" applyFont="1" applyFill="1" applyBorder="1"/>
    <xf numFmtId="0" fontId="22" fillId="7" borderId="22" xfId="0" applyFont="1" applyFill="1" applyBorder="1"/>
    <xf numFmtId="0" fontId="22" fillId="7" borderId="6" xfId="0" applyFont="1" applyFill="1" applyBorder="1"/>
    <xf numFmtId="165" fontId="23" fillId="9" borderId="26" xfId="0" applyNumberFormat="1" applyFont="1" applyFill="1" applyBorder="1" applyProtection="1">
      <protection locked="0"/>
    </xf>
    <xf numFmtId="165" fontId="23" fillId="9" borderId="27" xfId="0" applyNumberFormat="1" applyFont="1" applyFill="1" applyBorder="1" applyProtection="1">
      <protection locked="0"/>
    </xf>
    <xf numFmtId="165" fontId="23" fillId="9" borderId="28" xfId="0" applyNumberFormat="1" applyFont="1" applyFill="1" applyBorder="1" applyProtection="1">
      <protection locked="0"/>
    </xf>
    <xf numFmtId="165" fontId="23" fillId="10" borderId="26" xfId="0" applyNumberFormat="1" applyFont="1" applyFill="1" applyBorder="1" applyProtection="1">
      <protection locked="0"/>
    </xf>
    <xf numFmtId="165" fontId="23" fillId="10" borderId="27" xfId="0" applyNumberFormat="1" applyFont="1" applyFill="1" applyBorder="1" applyProtection="1">
      <protection locked="0"/>
    </xf>
    <xf numFmtId="165" fontId="23" fillId="10" borderId="28" xfId="0" applyNumberFormat="1" applyFont="1" applyFill="1" applyBorder="1" applyProtection="1">
      <protection locked="0"/>
    </xf>
    <xf numFmtId="165" fontId="23" fillId="11" borderId="26" xfId="0" applyNumberFormat="1" applyFont="1" applyFill="1" applyBorder="1"/>
    <xf numFmtId="165" fontId="23" fillId="4" borderId="26" xfId="0" applyNumberFormat="1" applyFont="1" applyFill="1" applyBorder="1"/>
    <xf numFmtId="165" fontId="23" fillId="4" borderId="27" xfId="0" applyNumberFormat="1" applyFont="1" applyFill="1" applyBorder="1"/>
    <xf numFmtId="165" fontId="23" fillId="4" borderId="28" xfId="0" applyNumberFormat="1" applyFont="1" applyFill="1" applyBorder="1"/>
    <xf numFmtId="3" fontId="22" fillId="7" borderId="10" xfId="0" applyNumberFormat="1" applyFont="1" applyFill="1" applyBorder="1"/>
    <xf numFmtId="165" fontId="22" fillId="2" borderId="0" xfId="0" applyNumberFormat="1" applyFont="1" applyFill="1"/>
    <xf numFmtId="165" fontId="26" fillId="2" borderId="0" xfId="0" applyNumberFormat="1" applyFont="1" applyFill="1"/>
    <xf numFmtId="165" fontId="22" fillId="2" borderId="0" xfId="0" applyNumberFormat="1" applyFont="1" applyFill="1" applyAlignment="1">
      <alignment horizontal="center"/>
    </xf>
    <xf numFmtId="0" fontId="27" fillId="5" borderId="0" xfId="0" applyFont="1" applyFill="1"/>
    <xf numFmtId="0" fontId="27" fillId="14" borderId="0" xfId="0" applyFont="1" applyFill="1"/>
    <xf numFmtId="165" fontId="23" fillId="14" borderId="0" xfId="0" applyNumberFormat="1" applyFont="1" applyFill="1"/>
    <xf numFmtId="165" fontId="23" fillId="9" borderId="32" xfId="0" applyNumberFormat="1" applyFont="1" applyFill="1" applyBorder="1"/>
    <xf numFmtId="165" fontId="23" fillId="10" borderId="32" xfId="0" applyNumberFormat="1" applyFont="1" applyFill="1" applyBorder="1"/>
    <xf numFmtId="0" fontId="27" fillId="14" borderId="25" xfId="0" applyFont="1" applyFill="1" applyBorder="1"/>
    <xf numFmtId="3" fontId="23" fillId="18" borderId="26" xfId="0" applyNumberFormat="1" applyFont="1" applyFill="1" applyBorder="1" applyAlignment="1">
      <alignment horizontal="center"/>
    </xf>
    <xf numFmtId="3" fontId="23" fillId="18" borderId="27" xfId="0" applyNumberFormat="1" applyFont="1" applyFill="1" applyBorder="1" applyAlignment="1">
      <alignment horizontal="center"/>
    </xf>
    <xf numFmtId="3" fontId="23" fillId="18" borderId="28" xfId="0" applyNumberFormat="1" applyFont="1" applyFill="1" applyBorder="1" applyAlignment="1">
      <alignment horizontal="center"/>
    </xf>
    <xf numFmtId="9" fontId="23" fillId="18" borderId="26" xfId="2" applyFont="1" applyFill="1" applyBorder="1" applyAlignment="1">
      <alignment horizontal="center"/>
    </xf>
    <xf numFmtId="9" fontId="23" fillId="18" borderId="27" xfId="2" applyFont="1" applyFill="1" applyBorder="1" applyAlignment="1">
      <alignment horizontal="center"/>
    </xf>
    <xf numFmtId="9" fontId="23" fillId="18" borderId="28" xfId="2" applyFont="1" applyFill="1" applyBorder="1" applyAlignment="1">
      <alignment horizontal="center"/>
    </xf>
    <xf numFmtId="165" fontId="23" fillId="18" borderId="26" xfId="0" applyNumberFormat="1" applyFont="1" applyFill="1" applyBorder="1"/>
    <xf numFmtId="165" fontId="23" fillId="18" borderId="27" xfId="0" applyNumberFormat="1" applyFont="1" applyFill="1" applyBorder="1"/>
    <xf numFmtId="165" fontId="23" fillId="18" borderId="28" xfId="0" applyNumberFormat="1" applyFont="1" applyFill="1" applyBorder="1"/>
    <xf numFmtId="165" fontId="22" fillId="18" borderId="32" xfId="0" applyNumberFormat="1" applyFont="1" applyFill="1" applyBorder="1" applyAlignment="1">
      <alignment horizontal="center" vertical="center" wrapText="1"/>
    </xf>
    <xf numFmtId="0" fontId="20" fillId="18" borderId="32" xfId="0" applyFont="1" applyFill="1" applyBorder="1" applyAlignment="1">
      <alignment horizontal="center" vertical="center" wrapText="1"/>
    </xf>
    <xf numFmtId="38" fontId="20" fillId="18" borderId="32" xfId="0" applyNumberFormat="1" applyFont="1" applyFill="1" applyBorder="1" applyAlignment="1">
      <alignment horizontal="center" vertical="center" wrapText="1"/>
    </xf>
    <xf numFmtId="0" fontId="23" fillId="19" borderId="0" xfId="0" applyFont="1" applyFill="1"/>
    <xf numFmtId="0" fontId="23" fillId="19" borderId="34" xfId="0" applyFont="1" applyFill="1" applyBorder="1"/>
    <xf numFmtId="0" fontId="23" fillId="19" borderId="35" xfId="0" applyFont="1" applyFill="1" applyBorder="1"/>
    <xf numFmtId="3" fontId="22" fillId="19" borderId="32" xfId="0" applyNumberFormat="1" applyFont="1" applyFill="1" applyBorder="1" applyAlignment="1">
      <alignment horizontal="right" vertical="center" wrapText="1"/>
    </xf>
    <xf numFmtId="0" fontId="22" fillId="19" borderId="32" xfId="0" applyFont="1" applyFill="1" applyBorder="1" applyAlignment="1">
      <alignment horizontal="center" vertical="center" wrapText="1"/>
    </xf>
    <xf numFmtId="0" fontId="23" fillId="19" borderId="29" xfId="0" applyFont="1" applyFill="1" applyBorder="1"/>
    <xf numFmtId="0" fontId="23" fillId="19" borderId="25" xfId="0" applyFont="1" applyFill="1" applyBorder="1"/>
    <xf numFmtId="0" fontId="23" fillId="19" borderId="30" xfId="0" applyFont="1" applyFill="1" applyBorder="1"/>
    <xf numFmtId="0" fontId="23" fillId="19" borderId="1" xfId="0" applyFont="1" applyFill="1" applyBorder="1"/>
    <xf numFmtId="0" fontId="23" fillId="19" borderId="2" xfId="0" applyFont="1" applyFill="1" applyBorder="1"/>
    <xf numFmtId="165" fontId="23" fillId="19" borderId="26" xfId="0" applyNumberFormat="1" applyFont="1" applyFill="1" applyBorder="1"/>
    <xf numFmtId="165" fontId="23" fillId="19" borderId="27" xfId="0" applyNumberFormat="1" applyFont="1" applyFill="1" applyBorder="1"/>
    <xf numFmtId="165" fontId="23" fillId="19" borderId="28" xfId="0" applyNumberFormat="1" applyFont="1" applyFill="1" applyBorder="1"/>
    <xf numFmtId="0" fontId="23" fillId="17" borderId="27" xfId="0" applyFont="1" applyFill="1" applyBorder="1"/>
    <xf numFmtId="0" fontId="23" fillId="17" borderId="28" xfId="0" applyFont="1" applyFill="1" applyBorder="1"/>
    <xf numFmtId="0" fontId="22" fillId="19" borderId="33" xfId="0" applyFont="1" applyFill="1" applyBorder="1"/>
    <xf numFmtId="165" fontId="22" fillId="19" borderId="32" xfId="0" applyNumberFormat="1" applyFont="1" applyFill="1" applyBorder="1" applyAlignment="1">
      <alignment horizontal="right" vertical="center" wrapText="1"/>
    </xf>
    <xf numFmtId="0" fontId="23" fillId="7" borderId="25" xfId="0" applyFont="1" applyFill="1" applyBorder="1"/>
    <xf numFmtId="0" fontId="22" fillId="7" borderId="25" xfId="0" applyFont="1" applyFill="1" applyBorder="1"/>
    <xf numFmtId="0" fontId="0" fillId="21" borderId="0" xfId="0" applyFill="1"/>
    <xf numFmtId="0" fontId="5" fillId="21" borderId="0" xfId="0" applyFont="1" applyFill="1"/>
    <xf numFmtId="0" fontId="1" fillId="21" borderId="0" xfId="0" applyFont="1" applyFill="1" applyAlignment="1">
      <alignment horizontal="center"/>
    </xf>
    <xf numFmtId="0" fontId="6" fillId="21" borderId="0" xfId="0" applyFont="1" applyFill="1"/>
    <xf numFmtId="165" fontId="20" fillId="4" borderId="4" xfId="0" applyNumberFormat="1" applyFont="1" applyFill="1" applyBorder="1"/>
    <xf numFmtId="165" fontId="20" fillId="7" borderId="0" xfId="0" applyNumberFormat="1" applyFont="1" applyFill="1"/>
    <xf numFmtId="3" fontId="20" fillId="2" borderId="0" xfId="0" applyNumberFormat="1" applyFont="1" applyFill="1"/>
    <xf numFmtId="3" fontId="20" fillId="2" borderId="21" xfId="0" applyNumberFormat="1" applyFont="1" applyFill="1" applyBorder="1"/>
    <xf numFmtId="0" fontId="20" fillId="7" borderId="0" xfId="0" applyFont="1" applyFill="1"/>
    <xf numFmtId="0" fontId="20" fillId="7" borderId="5" xfId="0" applyFont="1" applyFill="1" applyBorder="1"/>
    <xf numFmtId="0" fontId="20" fillId="2" borderId="5" xfId="0" applyFont="1" applyFill="1" applyBorder="1"/>
    <xf numFmtId="0" fontId="20" fillId="7" borderId="23" xfId="0" applyFont="1" applyFill="1" applyBorder="1"/>
    <xf numFmtId="0" fontId="20" fillId="7" borderId="7" xfId="0" applyFont="1" applyFill="1" applyBorder="1"/>
    <xf numFmtId="165" fontId="21" fillId="4" borderId="40" xfId="0" applyNumberFormat="1" applyFont="1" applyFill="1" applyBorder="1"/>
    <xf numFmtId="165" fontId="21" fillId="4" borderId="41" xfId="0" applyNumberFormat="1" applyFont="1" applyFill="1" applyBorder="1"/>
    <xf numFmtId="165" fontId="21" fillId="9" borderId="42" xfId="0" applyNumberFormat="1" applyFont="1" applyFill="1" applyBorder="1" applyProtection="1">
      <protection locked="0"/>
    </xf>
    <xf numFmtId="0" fontId="9" fillId="0" borderId="36" xfId="0" applyFont="1" applyBorder="1" applyAlignment="1">
      <alignment horizontal="center" vertical="center"/>
    </xf>
    <xf numFmtId="0" fontId="9" fillId="21" borderId="0" xfId="0" applyFont="1" applyFill="1"/>
    <xf numFmtId="0" fontId="9" fillId="21" borderId="2" xfId="0" applyFont="1" applyFill="1" applyBorder="1"/>
    <xf numFmtId="0" fontId="39" fillId="4" borderId="0" xfId="0" applyFont="1" applyFill="1" applyAlignment="1">
      <alignment horizontal="center" vertical="center"/>
    </xf>
    <xf numFmtId="165" fontId="22" fillId="4" borderId="32" xfId="0" applyNumberFormat="1" applyFont="1" applyFill="1" applyBorder="1"/>
    <xf numFmtId="0" fontId="26" fillId="22" borderId="0" xfId="0" applyFont="1" applyFill="1" applyAlignment="1">
      <alignment horizontal="center" vertical="center"/>
    </xf>
    <xf numFmtId="0" fontId="30" fillId="22" borderId="0" xfId="0" applyFont="1" applyFill="1" applyAlignment="1">
      <alignment horizontal="center" vertical="center"/>
    </xf>
    <xf numFmtId="0" fontId="30" fillId="22" borderId="32" xfId="0" applyFont="1" applyFill="1" applyBorder="1" applyAlignment="1">
      <alignment horizontal="center" vertical="center"/>
    </xf>
    <xf numFmtId="165" fontId="23" fillId="22" borderId="0" xfId="0" applyNumberFormat="1" applyFont="1" applyFill="1"/>
    <xf numFmtId="0" fontId="46" fillId="13" borderId="32" xfId="0" applyFont="1" applyFill="1" applyBorder="1" applyAlignment="1">
      <alignment horizontal="center" vertical="center"/>
    </xf>
    <xf numFmtId="0" fontId="46" fillId="13" borderId="0" xfId="0" applyFont="1" applyFill="1" applyAlignment="1">
      <alignment horizontal="left" vertical="center"/>
    </xf>
    <xf numFmtId="0" fontId="46" fillId="14" borderId="0" xfId="0" applyFont="1" applyFill="1" applyAlignment="1">
      <alignment horizontal="left" vertical="center"/>
    </xf>
    <xf numFmtId="165" fontId="46" fillId="13" borderId="0" xfId="0" applyNumberFormat="1" applyFont="1" applyFill="1" applyAlignment="1">
      <alignment horizontal="left" vertical="center"/>
    </xf>
    <xf numFmtId="165" fontId="24" fillId="19" borderId="32" xfId="0" applyNumberFormat="1" applyFont="1" applyFill="1" applyBorder="1" applyAlignment="1">
      <alignment horizontal="right" vertical="center" wrapText="1"/>
    </xf>
    <xf numFmtId="0" fontId="22" fillId="19" borderId="33" xfId="0" applyFont="1" applyFill="1" applyBorder="1" applyAlignment="1">
      <alignment vertical="center"/>
    </xf>
    <xf numFmtId="0" fontId="39" fillId="4" borderId="0" xfId="0" applyFont="1" applyFill="1" applyAlignment="1">
      <alignment vertical="center"/>
    </xf>
    <xf numFmtId="0" fontId="39" fillId="4" borderId="0" xfId="0" applyFont="1" applyFill="1"/>
    <xf numFmtId="165" fontId="21" fillId="9" borderId="32" xfId="0" applyNumberFormat="1" applyFont="1" applyFill="1" applyBorder="1" applyProtection="1">
      <protection locked="0"/>
    </xf>
    <xf numFmtId="0" fontId="20" fillId="4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165" fontId="20" fillId="4" borderId="0" xfId="0" applyNumberFormat="1" applyFont="1" applyFill="1" applyAlignment="1">
      <alignment horizontal="center" vertical="center"/>
    </xf>
    <xf numFmtId="168" fontId="24" fillId="4" borderId="0" xfId="1" applyNumberFormat="1" applyFont="1" applyFill="1" applyBorder="1" applyAlignment="1"/>
    <xf numFmtId="0" fontId="22" fillId="4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3" fillId="4" borderId="29" xfId="0" applyFont="1" applyFill="1" applyBorder="1"/>
    <xf numFmtId="0" fontId="21" fillId="4" borderId="25" xfId="0" applyFont="1" applyFill="1" applyBorder="1"/>
    <xf numFmtId="0" fontId="21" fillId="4" borderId="30" xfId="0" applyFont="1" applyFill="1" applyBorder="1"/>
    <xf numFmtId="0" fontId="23" fillId="4" borderId="1" xfId="0" applyFont="1" applyFill="1" applyBorder="1"/>
    <xf numFmtId="0" fontId="21" fillId="4" borderId="0" xfId="0" applyFont="1" applyFill="1"/>
    <xf numFmtId="0" fontId="21" fillId="4" borderId="2" xfId="0" applyFont="1" applyFill="1" applyBorder="1"/>
    <xf numFmtId="0" fontId="21" fillId="4" borderId="18" xfId="0" applyFont="1" applyFill="1" applyBorder="1"/>
    <xf numFmtId="0" fontId="21" fillId="4" borderId="31" xfId="0" applyFont="1" applyFill="1" applyBorder="1"/>
    <xf numFmtId="0" fontId="22" fillId="4" borderId="32" xfId="0" applyFont="1" applyFill="1" applyBorder="1" applyAlignment="1">
      <alignment horizontal="center" vertical="center" wrapText="1"/>
    </xf>
    <xf numFmtId="165" fontId="22" fillId="5" borderId="0" xfId="0" applyNumberFormat="1" applyFont="1" applyFill="1"/>
    <xf numFmtId="3" fontId="22" fillId="6" borderId="0" xfId="0" applyNumberFormat="1" applyFont="1" applyFill="1" applyAlignment="1">
      <alignment horizontal="center"/>
    </xf>
    <xf numFmtId="3" fontId="22" fillId="4" borderId="0" xfId="0" applyNumberFormat="1" applyFont="1" applyFill="1"/>
    <xf numFmtId="0" fontId="22" fillId="4" borderId="33" xfId="0" applyFont="1" applyFill="1" applyBorder="1"/>
    <xf numFmtId="0" fontId="22" fillId="7" borderId="34" xfId="0" applyFont="1" applyFill="1" applyBorder="1"/>
    <xf numFmtId="165" fontId="22" fillId="4" borderId="34" xfId="0" applyNumberFormat="1" applyFont="1" applyFill="1" applyBorder="1"/>
    <xf numFmtId="0" fontId="22" fillId="4" borderId="34" xfId="0" applyFont="1" applyFill="1" applyBorder="1"/>
    <xf numFmtId="0" fontId="22" fillId="4" borderId="35" xfId="0" applyFont="1" applyFill="1" applyBorder="1"/>
    <xf numFmtId="0" fontId="23" fillId="4" borderId="32" xfId="0" applyFont="1" applyFill="1" applyBorder="1"/>
    <xf numFmtId="3" fontId="22" fillId="4" borderId="32" xfId="0" applyNumberFormat="1" applyFont="1" applyFill="1" applyBorder="1"/>
    <xf numFmtId="10" fontId="22" fillId="4" borderId="32" xfId="2" applyNumberFormat="1" applyFont="1" applyFill="1" applyBorder="1"/>
    <xf numFmtId="165" fontId="22" fillId="4" borderId="32" xfId="0" applyNumberFormat="1" applyFont="1" applyFill="1" applyBorder="1" applyAlignment="1">
      <alignment vertical="center"/>
    </xf>
    <xf numFmtId="165" fontId="22" fillId="6" borderId="32" xfId="0" applyNumberFormat="1" applyFont="1" applyFill="1" applyBorder="1" applyAlignment="1">
      <alignment horizontal="center"/>
    </xf>
    <xf numFmtId="165" fontId="22" fillId="4" borderId="32" xfId="0" applyNumberFormat="1" applyFont="1" applyFill="1" applyBorder="1" applyAlignment="1">
      <alignment horizontal="center" vertical="center" wrapText="1"/>
    </xf>
    <xf numFmtId="10" fontId="22" fillId="4" borderId="32" xfId="2" applyNumberFormat="1" applyFont="1" applyFill="1" applyBorder="1" applyAlignment="1">
      <alignment vertical="center"/>
    </xf>
    <xf numFmtId="0" fontId="23" fillId="7" borderId="0" xfId="0" applyFont="1" applyFill="1" applyAlignment="1">
      <alignment horizontal="center" vertical="center" wrapText="1"/>
    </xf>
    <xf numFmtId="165" fontId="23" fillId="14" borderId="32" xfId="0" applyNumberFormat="1" applyFont="1" applyFill="1" applyBorder="1"/>
    <xf numFmtId="165" fontId="23" fillId="22" borderId="32" xfId="0" applyNumberFormat="1" applyFont="1" applyFill="1" applyBorder="1"/>
    <xf numFmtId="165" fontId="22" fillId="15" borderId="32" xfId="0" applyNumberFormat="1" applyFont="1" applyFill="1" applyBorder="1"/>
    <xf numFmtId="165" fontId="22" fillId="15" borderId="32" xfId="0" applyNumberFormat="1" applyFont="1" applyFill="1" applyBorder="1" applyAlignment="1">
      <alignment vertical="center"/>
    </xf>
    <xf numFmtId="165" fontId="22" fillId="10" borderId="32" xfId="0" applyNumberFormat="1" applyFont="1" applyFill="1" applyBorder="1"/>
    <xf numFmtId="165" fontId="22" fillId="9" borderId="26" xfId="0" applyNumberFormat="1" applyFont="1" applyFill="1" applyBorder="1"/>
    <xf numFmtId="165" fontId="23" fillId="14" borderId="26" xfId="0" applyNumberFormat="1" applyFont="1" applyFill="1" applyBorder="1"/>
    <xf numFmtId="165" fontId="23" fillId="9" borderId="32" xfId="0" applyNumberFormat="1" applyFont="1" applyFill="1" applyBorder="1" applyAlignment="1">
      <alignment vertical="center"/>
    </xf>
    <xf numFmtId="165" fontId="23" fillId="14" borderId="32" xfId="0" applyNumberFormat="1" applyFont="1" applyFill="1" applyBorder="1" applyAlignment="1">
      <alignment vertical="center"/>
    </xf>
    <xf numFmtId="165" fontId="23" fillId="10" borderId="32" xfId="0" applyNumberFormat="1" applyFont="1" applyFill="1" applyBorder="1" applyAlignment="1">
      <alignment vertical="center"/>
    </xf>
    <xf numFmtId="166" fontId="22" fillId="18" borderId="32" xfId="1" applyNumberFormat="1" applyFont="1" applyFill="1" applyBorder="1" applyAlignment="1">
      <alignment horizontal="center" vertical="center" wrapText="1"/>
    </xf>
    <xf numFmtId="3" fontId="22" fillId="18" borderId="32" xfId="0" applyNumberFormat="1" applyFont="1" applyFill="1" applyBorder="1" applyAlignment="1">
      <alignment horizontal="center"/>
    </xf>
    <xf numFmtId="0" fontId="20" fillId="4" borderId="32" xfId="0" applyFont="1" applyFill="1" applyBorder="1" applyAlignment="1">
      <alignment horizontal="center" vertical="center" wrapText="1"/>
    </xf>
    <xf numFmtId="165" fontId="23" fillId="23" borderId="32" xfId="0" applyNumberFormat="1" applyFont="1" applyFill="1" applyBorder="1"/>
    <xf numFmtId="9" fontId="22" fillId="23" borderId="32" xfId="0" applyNumberFormat="1" applyFont="1" applyFill="1" applyBorder="1"/>
    <xf numFmtId="165" fontId="23" fillId="26" borderId="32" xfId="0" applyNumberFormat="1" applyFont="1" applyFill="1" applyBorder="1"/>
    <xf numFmtId="165" fontId="22" fillId="26" borderId="32" xfId="0" applyNumberFormat="1" applyFont="1" applyFill="1" applyBorder="1"/>
    <xf numFmtId="0" fontId="23" fillId="19" borderId="17" xfId="0" applyFont="1" applyFill="1" applyBorder="1"/>
    <xf numFmtId="0" fontId="23" fillId="19" borderId="18" xfId="0" applyFont="1" applyFill="1" applyBorder="1"/>
    <xf numFmtId="0" fontId="23" fillId="19" borderId="31" xfId="0" applyFont="1" applyFill="1" applyBorder="1"/>
    <xf numFmtId="165" fontId="22" fillId="19" borderId="32" xfId="0" applyNumberFormat="1" applyFont="1" applyFill="1" applyBorder="1" applyAlignment="1">
      <alignment horizontal="center" vertical="center" wrapText="1"/>
    </xf>
    <xf numFmtId="0" fontId="0" fillId="21" borderId="25" xfId="0" applyFill="1" applyBorder="1"/>
    <xf numFmtId="0" fontId="0" fillId="21" borderId="30" xfId="0" applyFill="1" applyBorder="1"/>
    <xf numFmtId="0" fontId="0" fillId="21" borderId="1" xfId="0" applyFill="1" applyBorder="1"/>
    <xf numFmtId="0" fontId="0" fillId="21" borderId="17" xfId="0" applyFill="1" applyBorder="1"/>
    <xf numFmtId="0" fontId="0" fillId="21" borderId="18" xfId="0" applyFill="1" applyBorder="1"/>
    <xf numFmtId="0" fontId="0" fillId="21" borderId="31" xfId="0" applyFill="1" applyBorder="1"/>
    <xf numFmtId="0" fontId="9" fillId="12" borderId="26" xfId="0" applyFont="1" applyFill="1" applyBorder="1" applyAlignment="1">
      <alignment horizontal="center" vertical="center"/>
    </xf>
    <xf numFmtId="165" fontId="23" fillId="28" borderId="32" xfId="0" applyNumberFormat="1" applyFont="1" applyFill="1" applyBorder="1" applyProtection="1">
      <protection locked="0"/>
    </xf>
    <xf numFmtId="10" fontId="24" fillId="28" borderId="32" xfId="2" applyNumberFormat="1" applyFont="1" applyFill="1" applyBorder="1" applyAlignment="1" applyProtection="1">
      <alignment horizontal="center" vertical="center"/>
      <protection locked="0"/>
    </xf>
    <xf numFmtId="10" fontId="20" fillId="28" borderId="32" xfId="2" applyNumberFormat="1" applyFont="1" applyFill="1" applyBorder="1" applyAlignment="1" applyProtection="1">
      <protection locked="0"/>
    </xf>
    <xf numFmtId="165" fontId="23" fillId="28" borderId="32" xfId="0" applyNumberFormat="1" applyFont="1" applyFill="1" applyBorder="1" applyAlignment="1" applyProtection="1">
      <alignment vertical="center"/>
      <protection locked="0"/>
    </xf>
    <xf numFmtId="0" fontId="27" fillId="5" borderId="0" xfId="0" applyFont="1" applyFill="1" applyAlignment="1">
      <alignment horizontal="center" vertical="center"/>
    </xf>
    <xf numFmtId="165" fontId="22" fillId="6" borderId="0" xfId="0" applyNumberFormat="1" applyFont="1" applyFill="1" applyAlignment="1">
      <alignment horizontal="center"/>
    </xf>
    <xf numFmtId="0" fontId="0" fillId="21" borderId="29" xfId="0" applyFill="1" applyBorder="1"/>
    <xf numFmtId="0" fontId="55" fillId="18" borderId="0" xfId="0" applyFont="1" applyFill="1" applyAlignment="1" applyProtection="1">
      <alignment horizontal="center" vertical="center"/>
      <protection locked="0"/>
    </xf>
    <xf numFmtId="38" fontId="55" fillId="18" borderId="0" xfId="0" applyNumberFormat="1" applyFont="1" applyFill="1" applyAlignment="1" applyProtection="1">
      <alignment horizontal="center" vertical="center"/>
      <protection locked="0"/>
    </xf>
    <xf numFmtId="165" fontId="20" fillId="4" borderId="16" xfId="0" applyNumberFormat="1" applyFont="1" applyFill="1" applyBorder="1"/>
    <xf numFmtId="165" fontId="20" fillId="27" borderId="16" xfId="0" applyNumberFormat="1" applyFont="1" applyFill="1" applyBorder="1"/>
    <xf numFmtId="165" fontId="20" fillId="6" borderId="3" xfId="0" applyNumberFormat="1" applyFont="1" applyFill="1" applyBorder="1" applyAlignment="1" applyProtection="1">
      <alignment horizontal="right"/>
      <protection locked="0"/>
    </xf>
    <xf numFmtId="0" fontId="0" fillId="29" borderId="0" xfId="0" applyFill="1"/>
    <xf numFmtId="0" fontId="38" fillId="30" borderId="0" xfId="0" applyFont="1" applyFill="1"/>
    <xf numFmtId="0" fontId="39" fillId="30" borderId="0" xfId="0" applyFont="1" applyFill="1" applyAlignment="1">
      <alignment horizontal="left" vertical="center"/>
    </xf>
    <xf numFmtId="0" fontId="38" fillId="30" borderId="0" xfId="0" applyFont="1" applyFill="1" applyAlignment="1" applyProtection="1">
      <alignment horizontal="center" vertical="center"/>
      <protection locked="0"/>
    </xf>
    <xf numFmtId="1" fontId="38" fillId="30" borderId="0" xfId="0" applyNumberFormat="1" applyFont="1" applyFill="1" applyAlignment="1">
      <alignment horizontal="center" vertical="center" wrapText="1"/>
    </xf>
    <xf numFmtId="0" fontId="9" fillId="30" borderId="0" xfId="0" applyFont="1" applyFill="1"/>
    <xf numFmtId="0" fontId="9" fillId="30" borderId="6" xfId="0" applyFont="1" applyFill="1" applyBorder="1"/>
    <xf numFmtId="0" fontId="38" fillId="25" borderId="12" xfId="0" applyFont="1" applyFill="1" applyBorder="1"/>
    <xf numFmtId="0" fontId="9" fillId="25" borderId="10" xfId="0" applyFont="1" applyFill="1" applyBorder="1"/>
    <xf numFmtId="0" fontId="9" fillId="25" borderId="0" xfId="0" applyFont="1" applyFill="1"/>
    <xf numFmtId="0" fontId="38" fillId="25" borderId="7" xfId="0" applyFont="1" applyFill="1" applyBorder="1"/>
    <xf numFmtId="0" fontId="9" fillId="25" borderId="11" xfId="0" applyFont="1" applyFill="1" applyBorder="1"/>
    <xf numFmtId="0" fontId="43" fillId="25" borderId="13" xfId="0" applyFont="1" applyFill="1" applyBorder="1"/>
    <xf numFmtId="0" fontId="10" fillId="25" borderId="0" xfId="0" applyFont="1" applyFill="1"/>
    <xf numFmtId="0" fontId="9" fillId="25" borderId="14" xfId="0" applyFont="1" applyFill="1" applyBorder="1"/>
    <xf numFmtId="0" fontId="9" fillId="25" borderId="15" xfId="0" applyFont="1" applyFill="1" applyBorder="1"/>
    <xf numFmtId="0" fontId="23" fillId="29" borderId="0" xfId="0" applyFont="1" applyFill="1"/>
    <xf numFmtId="0" fontId="27" fillId="29" borderId="0" xfId="0" applyFont="1" applyFill="1"/>
    <xf numFmtId="0" fontId="28" fillId="29" borderId="0" xfId="0" applyFont="1" applyFill="1" applyAlignment="1">
      <alignment horizontal="center"/>
    </xf>
    <xf numFmtId="0" fontId="27" fillId="29" borderId="0" xfId="0" applyFont="1" applyFill="1" applyAlignment="1">
      <alignment horizontal="center" vertical="center" wrapText="1"/>
    </xf>
    <xf numFmtId="165" fontId="23" fillId="29" borderId="0" xfId="0" applyNumberFormat="1" applyFont="1" applyFill="1"/>
    <xf numFmtId="165" fontId="22" fillId="29" borderId="0" xfId="0" applyNumberFormat="1" applyFont="1" applyFill="1"/>
    <xf numFmtId="0" fontId="23" fillId="30" borderId="0" xfId="0" applyFont="1" applyFill="1"/>
    <xf numFmtId="0" fontId="26" fillId="30" borderId="0" xfId="0" applyFont="1" applyFill="1"/>
    <xf numFmtId="0" fontId="23" fillId="30" borderId="34" xfId="0" applyFont="1" applyFill="1" applyBorder="1"/>
    <xf numFmtId="0" fontId="26" fillId="30" borderId="0" xfId="0" applyFont="1" applyFill="1" applyAlignment="1">
      <alignment horizontal="center" vertical="center"/>
    </xf>
    <xf numFmtId="165" fontId="23" fillId="30" borderId="0" xfId="0" applyNumberFormat="1" applyFont="1" applyFill="1"/>
    <xf numFmtId="0" fontId="23" fillId="30" borderId="0" xfId="0" applyFont="1" applyFill="1" applyAlignment="1">
      <alignment horizontal="center" vertical="center"/>
    </xf>
    <xf numFmtId="165" fontId="23" fillId="31" borderId="32" xfId="0" applyNumberFormat="1" applyFont="1" applyFill="1" applyBorder="1" applyProtection="1">
      <protection locked="0"/>
    </xf>
    <xf numFmtId="0" fontId="0" fillId="24" borderId="0" xfId="0" applyFill="1"/>
    <xf numFmtId="0" fontId="38" fillId="24" borderId="0" xfId="0" applyFont="1" applyFill="1"/>
    <xf numFmtId="0" fontId="9" fillId="33" borderId="0" xfId="0" applyFont="1" applyFill="1"/>
    <xf numFmtId="165" fontId="23" fillId="2" borderId="0" xfId="0" applyNumberFormat="1" applyFont="1" applyFill="1" applyProtection="1">
      <protection locked="0"/>
    </xf>
    <xf numFmtId="0" fontId="51" fillId="2" borderId="0" xfId="0" applyFont="1" applyFill="1"/>
    <xf numFmtId="165" fontId="22" fillId="5" borderId="0" xfId="0" applyNumberFormat="1" applyFont="1" applyFill="1" applyAlignment="1">
      <alignment horizontal="center" vertical="center"/>
    </xf>
    <xf numFmtId="0" fontId="22" fillId="9" borderId="1" xfId="0" applyFont="1" applyFill="1" applyBorder="1" applyAlignment="1" applyProtection="1">
      <alignment horizontal="left"/>
      <protection locked="0"/>
    </xf>
    <xf numFmtId="0" fontId="22" fillId="9" borderId="0" xfId="0" applyFont="1" applyFill="1" applyAlignment="1" applyProtection="1">
      <alignment horizontal="left"/>
      <protection locked="0"/>
    </xf>
    <xf numFmtId="0" fontId="22" fillId="9" borderId="2" xfId="0" applyFont="1" applyFill="1" applyBorder="1" applyAlignment="1" applyProtection="1">
      <alignment horizontal="left"/>
      <protection locked="0"/>
    </xf>
    <xf numFmtId="38" fontId="23" fillId="32" borderId="0" xfId="0" applyNumberFormat="1" applyFont="1" applyFill="1" applyProtection="1">
      <protection locked="0"/>
    </xf>
    <xf numFmtId="38" fontId="23" fillId="7" borderId="0" xfId="0" applyNumberFormat="1" applyFont="1" applyFill="1"/>
    <xf numFmtId="38" fontId="23" fillId="5" borderId="0" xfId="0" applyNumberFormat="1" applyFont="1" applyFill="1"/>
    <xf numFmtId="38" fontId="22" fillId="4" borderId="32" xfId="0" applyNumberFormat="1" applyFont="1" applyFill="1" applyBorder="1"/>
    <xf numFmtId="38" fontId="22" fillId="18" borderId="32" xfId="0" applyNumberFormat="1" applyFont="1" applyFill="1" applyBorder="1"/>
    <xf numFmtId="38" fontId="22" fillId="5" borderId="0" xfId="0" applyNumberFormat="1" applyFont="1" applyFill="1" applyAlignment="1">
      <alignment horizontal="center" vertical="center"/>
    </xf>
    <xf numFmtId="38" fontId="21" fillId="2" borderId="0" xfId="0" applyNumberFormat="1" applyFont="1" applyFill="1"/>
    <xf numFmtId="38" fontId="58" fillId="5" borderId="0" xfId="0" applyNumberFormat="1" applyFont="1" applyFill="1" applyAlignment="1">
      <alignment horizontal="center" vertical="center"/>
    </xf>
    <xf numFmtId="38" fontId="23" fillId="32" borderId="32" xfId="0" applyNumberFormat="1" applyFont="1" applyFill="1" applyBorder="1" applyProtection="1">
      <protection locked="0"/>
    </xf>
    <xf numFmtId="38" fontId="22" fillId="18" borderId="32" xfId="0" applyNumberFormat="1" applyFont="1" applyFill="1" applyBorder="1" applyAlignment="1">
      <alignment vertical="center"/>
    </xf>
    <xf numFmtId="38" fontId="0" fillId="2" borderId="0" xfId="0" applyNumberFormat="1" applyFill="1" applyAlignment="1">
      <alignment vertical="center"/>
    </xf>
    <xf numFmtId="38" fontId="51" fillId="2" borderId="0" xfId="0" applyNumberFormat="1" applyFont="1" applyFill="1"/>
    <xf numFmtId="3" fontId="51" fillId="2" borderId="0" xfId="0" applyNumberFormat="1" applyFont="1" applyFill="1"/>
    <xf numFmtId="3" fontId="22" fillId="12" borderId="32" xfId="1" applyNumberFormat="1" applyFont="1" applyFill="1" applyBorder="1"/>
    <xf numFmtId="3" fontId="22" fillId="5" borderId="0" xfId="0" applyNumberFormat="1" applyFont="1" applyFill="1" applyAlignment="1">
      <alignment horizontal="center" vertical="center"/>
    </xf>
    <xf numFmtId="38" fontId="22" fillId="4" borderId="32" xfId="0" applyNumberFormat="1" applyFont="1" applyFill="1" applyBorder="1" applyAlignment="1">
      <alignment horizontal="center" vertical="center" wrapText="1"/>
    </xf>
    <xf numFmtId="3" fontId="22" fillId="4" borderId="32" xfId="0" applyNumberFormat="1" applyFont="1" applyFill="1" applyBorder="1" applyAlignment="1">
      <alignment horizontal="center" vertical="center" wrapText="1"/>
    </xf>
    <xf numFmtId="3" fontId="62" fillId="7" borderId="0" xfId="0" applyNumberFormat="1" applyFont="1" applyFill="1" applyAlignment="1">
      <alignment horizontal="center" vertical="center"/>
    </xf>
    <xf numFmtId="10" fontId="22" fillId="7" borderId="0" xfId="2" applyNumberFormat="1" applyFont="1" applyFill="1" applyBorder="1"/>
    <xf numFmtId="0" fontId="10" fillId="12" borderId="27" xfId="0" applyFont="1" applyFill="1" applyBorder="1" applyAlignment="1">
      <alignment horizontal="center" vertical="center"/>
    </xf>
    <xf numFmtId="0" fontId="63" fillId="2" borderId="32" xfId="0" applyFont="1" applyFill="1" applyBorder="1" applyAlignment="1">
      <alignment horizontal="center" vertical="center"/>
    </xf>
    <xf numFmtId="165" fontId="22" fillId="9" borderId="32" xfId="0" applyNumberFormat="1" applyFont="1" applyFill="1" applyBorder="1"/>
    <xf numFmtId="165" fontId="49" fillId="29" borderId="0" xfId="0" applyNumberFormat="1" applyFont="1" applyFill="1" applyAlignment="1">
      <alignment vertical="center" wrapText="1"/>
    </xf>
    <xf numFmtId="165" fontId="23" fillId="9" borderId="26" xfId="0" applyNumberFormat="1" applyFont="1" applyFill="1" applyBorder="1"/>
    <xf numFmtId="165" fontId="22" fillId="14" borderId="26" xfId="0" applyNumberFormat="1" applyFont="1" applyFill="1" applyBorder="1"/>
    <xf numFmtId="0" fontId="20" fillId="18" borderId="32" xfId="0" applyFont="1" applyFill="1" applyBorder="1" applyAlignment="1">
      <alignment horizontal="center" vertical="justify" wrapText="1"/>
    </xf>
    <xf numFmtId="38" fontId="22" fillId="18" borderId="32" xfId="1" applyNumberFormat="1" applyFont="1" applyFill="1" applyBorder="1" applyAlignment="1">
      <alignment horizontal="right" vertical="center" wrapText="1"/>
    </xf>
    <xf numFmtId="3" fontId="22" fillId="18" borderId="26" xfId="0" applyNumberFormat="1" applyFont="1" applyFill="1" applyBorder="1" applyAlignment="1">
      <alignment horizontal="center"/>
    </xf>
    <xf numFmtId="38" fontId="23" fillId="18" borderId="27" xfId="0" applyNumberFormat="1" applyFont="1" applyFill="1" applyBorder="1"/>
    <xf numFmtId="3" fontId="23" fillId="18" borderId="32" xfId="0" applyNumberFormat="1" applyFont="1" applyFill="1" applyBorder="1" applyAlignment="1">
      <alignment horizontal="center"/>
    </xf>
    <xf numFmtId="165" fontId="22" fillId="28" borderId="32" xfId="0" applyNumberFormat="1" applyFont="1" applyFill="1" applyBorder="1" applyAlignment="1" applyProtection="1">
      <alignment vertical="center"/>
      <protection locked="0"/>
    </xf>
    <xf numFmtId="0" fontId="10" fillId="12" borderId="1" xfId="0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/>
    </xf>
    <xf numFmtId="0" fontId="9" fillId="12" borderId="28" xfId="0" applyFont="1" applyFill="1" applyBorder="1" applyAlignment="1">
      <alignment horizontal="center" vertical="center"/>
    </xf>
    <xf numFmtId="0" fontId="10" fillId="12" borderId="28" xfId="0" applyFont="1" applyFill="1" applyBorder="1" applyAlignment="1">
      <alignment horizontal="center" vertical="center"/>
    </xf>
    <xf numFmtId="0" fontId="0" fillId="21" borderId="2" xfId="0" applyFill="1" applyBorder="1"/>
    <xf numFmtId="0" fontId="34" fillId="21" borderId="17" xfId="0" applyFont="1" applyFill="1" applyBorder="1"/>
    <xf numFmtId="0" fontId="12" fillId="21" borderId="31" xfId="0" applyFont="1" applyFill="1" applyBorder="1"/>
    <xf numFmtId="0" fontId="12" fillId="0" borderId="32" xfId="0" applyFont="1" applyBorder="1" applyAlignment="1">
      <alignment horizontal="center"/>
    </xf>
    <xf numFmtId="0" fontId="51" fillId="35" borderId="0" xfId="0" applyFont="1" applyFill="1"/>
    <xf numFmtId="38" fontId="51" fillId="35" borderId="0" xfId="0" applyNumberFormat="1" applyFont="1" applyFill="1"/>
    <xf numFmtId="38" fontId="22" fillId="34" borderId="32" xfId="0" applyNumberFormat="1" applyFont="1" applyFill="1" applyBorder="1" applyAlignment="1">
      <alignment horizontal="center" vertical="center"/>
    </xf>
    <xf numFmtId="0" fontId="11" fillId="35" borderId="0" xfId="0" applyFont="1" applyFill="1"/>
    <xf numFmtId="0" fontId="39" fillId="18" borderId="0" xfId="0" applyFont="1" applyFill="1" applyAlignment="1" applyProtection="1">
      <alignment horizontal="center" vertical="center"/>
      <protection locked="0"/>
    </xf>
    <xf numFmtId="0" fontId="69" fillId="18" borderId="0" xfId="0" applyFont="1" applyFill="1" applyAlignment="1" applyProtection="1">
      <alignment horizontal="center" vertical="center"/>
      <protection locked="0"/>
    </xf>
    <xf numFmtId="0" fontId="61" fillId="24" borderId="0" xfId="3" applyFill="1" applyAlignment="1" applyProtection="1">
      <alignment vertical="center"/>
      <protection locked="0"/>
    </xf>
    <xf numFmtId="0" fontId="70" fillId="18" borderId="0" xfId="0" applyFont="1" applyFill="1" applyAlignment="1" applyProtection="1">
      <alignment horizontal="center" vertical="center"/>
      <protection locked="0"/>
    </xf>
    <xf numFmtId="3" fontId="71" fillId="36" borderId="49" xfId="0" applyNumberFormat="1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0" fillId="20" borderId="0" xfId="0" applyFill="1"/>
    <xf numFmtId="1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69" fontId="2" fillId="0" borderId="0" xfId="0" applyNumberFormat="1" applyFont="1"/>
    <xf numFmtId="169" fontId="0" fillId="0" borderId="0" xfId="0" applyNumberFormat="1"/>
    <xf numFmtId="0" fontId="9" fillId="25" borderId="50" xfId="0" applyFont="1" applyFill="1" applyBorder="1"/>
    <xf numFmtId="0" fontId="0" fillId="24" borderId="51" xfId="0" applyFill="1" applyBorder="1"/>
    <xf numFmtId="0" fontId="0" fillId="24" borderId="52" xfId="0" applyFill="1" applyBorder="1"/>
    <xf numFmtId="0" fontId="9" fillId="25" borderId="53" xfId="0" applyFont="1" applyFill="1" applyBorder="1"/>
    <xf numFmtId="0" fontId="9" fillId="25" borderId="54" xfId="0" applyFont="1" applyFill="1" applyBorder="1"/>
    <xf numFmtId="165" fontId="23" fillId="14" borderId="0" xfId="0" applyNumberFormat="1" applyFont="1" applyFill="1" applyProtection="1">
      <protection locked="0"/>
    </xf>
    <xf numFmtId="0" fontId="27" fillId="14" borderId="0" xfId="0" applyFont="1" applyFill="1" applyProtection="1">
      <protection locked="0"/>
    </xf>
    <xf numFmtId="0" fontId="2" fillId="38" borderId="0" xfId="0" applyFont="1" applyFill="1"/>
    <xf numFmtId="0" fontId="23" fillId="8" borderId="35" xfId="0" applyFont="1" applyFill="1" applyBorder="1" applyAlignment="1">
      <alignment horizontal="center" vertical="center"/>
    </xf>
    <xf numFmtId="0" fontId="20" fillId="18" borderId="28" xfId="0" applyFont="1" applyFill="1" applyBorder="1" applyAlignment="1">
      <alignment horizontal="center" vertical="justify" wrapText="1"/>
    </xf>
    <xf numFmtId="38" fontId="22" fillId="18" borderId="28" xfId="1" applyNumberFormat="1" applyFont="1" applyFill="1" applyBorder="1" applyAlignment="1">
      <alignment horizontal="right" vertical="center" wrapText="1"/>
    </xf>
    <xf numFmtId="3" fontId="23" fillId="18" borderId="0" xfId="0" applyNumberFormat="1" applyFont="1" applyFill="1" applyAlignment="1">
      <alignment horizontal="center"/>
    </xf>
    <xf numFmtId="9" fontId="23" fillId="18" borderId="0" xfId="2" applyFont="1" applyFill="1" applyBorder="1" applyAlignment="1">
      <alignment horizontal="center"/>
    </xf>
    <xf numFmtId="3" fontId="23" fillId="18" borderId="29" xfId="0" applyNumberFormat="1" applyFont="1" applyFill="1" applyBorder="1" applyAlignment="1">
      <alignment horizontal="center"/>
    </xf>
    <xf numFmtId="0" fontId="23" fillId="29" borderId="25" xfId="0" applyFont="1" applyFill="1" applyBorder="1"/>
    <xf numFmtId="3" fontId="23" fillId="18" borderId="25" xfId="0" applyNumberFormat="1" applyFont="1" applyFill="1" applyBorder="1" applyAlignment="1">
      <alignment horizontal="center"/>
    </xf>
    <xf numFmtId="9" fontId="23" fillId="18" borderId="25" xfId="2" applyFont="1" applyFill="1" applyBorder="1" applyAlignment="1">
      <alignment horizontal="center"/>
    </xf>
    <xf numFmtId="3" fontId="23" fillId="18" borderId="1" xfId="0" applyNumberFormat="1" applyFont="1" applyFill="1" applyBorder="1" applyAlignment="1">
      <alignment horizontal="center"/>
    </xf>
    <xf numFmtId="3" fontId="23" fillId="18" borderId="17" xfId="0" applyNumberFormat="1" applyFont="1" applyFill="1" applyBorder="1" applyAlignment="1">
      <alignment horizontal="center"/>
    </xf>
    <xf numFmtId="0" fontId="23" fillId="29" borderId="18" xfId="0" applyFont="1" applyFill="1" applyBorder="1"/>
    <xf numFmtId="3" fontId="23" fillId="18" borderId="18" xfId="0" applyNumberFormat="1" applyFont="1" applyFill="1" applyBorder="1" applyAlignment="1">
      <alignment horizontal="center"/>
    </xf>
    <xf numFmtId="9" fontId="23" fillId="18" borderId="18" xfId="2" applyFont="1" applyFill="1" applyBorder="1" applyAlignment="1">
      <alignment horizontal="center"/>
    </xf>
    <xf numFmtId="38" fontId="23" fillId="32" borderId="0" xfId="0" applyNumberFormat="1" applyFont="1" applyFill="1"/>
    <xf numFmtId="9" fontId="23" fillId="18" borderId="32" xfId="2" applyFont="1" applyFill="1" applyBorder="1" applyAlignment="1">
      <alignment horizontal="center"/>
    </xf>
    <xf numFmtId="165" fontId="23" fillId="18" borderId="32" xfId="0" applyNumberFormat="1" applyFont="1" applyFill="1" applyBorder="1"/>
    <xf numFmtId="0" fontId="14" fillId="0" borderId="46" xfId="0" applyFont="1" applyBorder="1"/>
    <xf numFmtId="0" fontId="14" fillId="0" borderId="43" xfId="0" applyFont="1" applyBorder="1"/>
    <xf numFmtId="0" fontId="14" fillId="0" borderId="44" xfId="0" applyFont="1" applyBorder="1"/>
    <xf numFmtId="0" fontId="9" fillId="12" borderId="1" xfId="0" applyFont="1" applyFill="1" applyBorder="1" applyAlignment="1">
      <alignment horizontal="center" vertical="center"/>
    </xf>
    <xf numFmtId="168" fontId="56" fillId="41" borderId="0" xfId="1" applyNumberFormat="1" applyFont="1" applyFill="1" applyBorder="1" applyAlignment="1">
      <alignment horizontal="center" vertical="center" wrapText="1"/>
    </xf>
    <xf numFmtId="165" fontId="21" fillId="5" borderId="0" xfId="0" applyNumberFormat="1" applyFont="1" applyFill="1"/>
    <xf numFmtId="38" fontId="21" fillId="32" borderId="0" xfId="0" applyNumberFormat="1" applyFont="1" applyFill="1" applyProtection="1">
      <protection locked="0"/>
    </xf>
    <xf numFmtId="165" fontId="23" fillId="10" borderId="26" xfId="0" applyNumberFormat="1" applyFont="1" applyFill="1" applyBorder="1"/>
    <xf numFmtId="165" fontId="23" fillId="10" borderId="28" xfId="0" applyNumberFormat="1" applyFont="1" applyFill="1" applyBorder="1"/>
    <xf numFmtId="38" fontId="22" fillId="43" borderId="32" xfId="0" applyNumberFormat="1" applyFont="1" applyFill="1" applyBorder="1" applyAlignment="1" applyProtection="1">
      <alignment horizontal="center" vertical="center"/>
      <protection locked="0"/>
    </xf>
    <xf numFmtId="0" fontId="46" fillId="29" borderId="0" xfId="0" applyFont="1" applyFill="1" applyAlignment="1">
      <alignment horizontal="center" vertical="center"/>
    </xf>
    <xf numFmtId="168" fontId="23" fillId="28" borderId="35" xfId="1" applyNumberFormat="1" applyFont="1" applyFill="1" applyBorder="1" applyAlignment="1" applyProtection="1">
      <protection locked="0"/>
    </xf>
    <xf numFmtId="165" fontId="81" fillId="29" borderId="0" xfId="0" applyNumberFormat="1" applyFont="1" applyFill="1" applyAlignment="1" applyProtection="1">
      <alignment horizontal="center" vertical="center"/>
      <protection locked="0"/>
    </xf>
    <xf numFmtId="0" fontId="33" fillId="4" borderId="32" xfId="0" applyFont="1" applyFill="1" applyBorder="1" applyAlignment="1">
      <alignment horizontal="center" vertical="center" wrapText="1"/>
    </xf>
    <xf numFmtId="0" fontId="23" fillId="29" borderId="34" xfId="0" applyFont="1" applyFill="1" applyBorder="1"/>
    <xf numFmtId="0" fontId="23" fillId="29" borderId="35" xfId="0" applyFont="1" applyFill="1" applyBorder="1"/>
    <xf numFmtId="0" fontId="85" fillId="29" borderId="32" xfId="0" applyFont="1" applyFill="1" applyBorder="1" applyAlignment="1">
      <alignment horizontal="center"/>
    </xf>
    <xf numFmtId="0" fontId="23" fillId="29" borderId="33" xfId="0" applyFont="1" applyFill="1" applyBorder="1"/>
    <xf numFmtId="9" fontId="23" fillId="29" borderId="32" xfId="0" applyNumberFormat="1" applyFont="1" applyFill="1" applyBorder="1" applyAlignment="1">
      <alignment horizontal="center"/>
    </xf>
    <xf numFmtId="171" fontId="23" fillId="29" borderId="32" xfId="4" applyNumberFormat="1" applyFont="1" applyFill="1" applyBorder="1"/>
    <xf numFmtId="0" fontId="62" fillId="7" borderId="0" xfId="0" applyFont="1" applyFill="1" applyAlignment="1">
      <alignment horizontal="center" vertical="center"/>
    </xf>
    <xf numFmtId="165" fontId="86" fillId="5" borderId="0" xfId="0" applyNumberFormat="1" applyFont="1" applyFill="1"/>
    <xf numFmtId="165" fontId="62" fillId="5" borderId="0" xfId="0" applyNumberFormat="1" applyFont="1" applyFill="1"/>
    <xf numFmtId="38" fontId="62" fillId="5" borderId="0" xfId="0" applyNumberFormat="1" applyFont="1" applyFill="1" applyAlignment="1">
      <alignment horizontal="center" vertical="center"/>
    </xf>
    <xf numFmtId="0" fontId="87" fillId="44" borderId="0" xfId="0" applyFont="1" applyFill="1" applyAlignment="1">
      <alignment horizontal="center" vertical="center"/>
    </xf>
    <xf numFmtId="0" fontId="0" fillId="45" borderId="0" xfId="0" applyFill="1"/>
    <xf numFmtId="0" fontId="0" fillId="45" borderId="52" xfId="0" applyFill="1" applyBorder="1"/>
    <xf numFmtId="38" fontId="23" fillId="11" borderId="0" xfId="0" applyNumberFormat="1" applyFont="1" applyFill="1"/>
    <xf numFmtId="172" fontId="89" fillId="44" borderId="0" xfId="2" applyNumberFormat="1" applyFont="1" applyFill="1" applyAlignment="1">
      <alignment horizontal="center" vertical="center"/>
    </xf>
    <xf numFmtId="3" fontId="22" fillId="12" borderId="32" xfId="1" applyNumberFormat="1" applyFont="1" applyFill="1" applyBorder="1" applyAlignment="1">
      <alignment vertical="center"/>
    </xf>
    <xf numFmtId="0" fontId="90" fillId="2" borderId="0" xfId="0" applyFont="1" applyFill="1" applyAlignment="1">
      <alignment horizontal="center"/>
    </xf>
    <xf numFmtId="0" fontId="0" fillId="46" borderId="0" xfId="0" applyFill="1"/>
    <xf numFmtId="0" fontId="73" fillId="46" borderId="0" xfId="0" applyFont="1" applyFill="1"/>
    <xf numFmtId="0" fontId="2" fillId="46" borderId="0" xfId="0" applyFont="1" applyFill="1"/>
    <xf numFmtId="0" fontId="92" fillId="46" borderId="0" xfId="0" applyFont="1" applyFill="1"/>
    <xf numFmtId="10" fontId="33" fillId="5" borderId="0" xfId="2" applyNumberFormat="1" applyFont="1" applyFill="1" applyBorder="1" applyAlignment="1" applyProtection="1">
      <alignment horizontal="center" vertical="center"/>
    </xf>
    <xf numFmtId="38" fontId="22" fillId="4" borderId="32" xfId="0" applyNumberFormat="1" applyFont="1" applyFill="1" applyBorder="1" applyAlignment="1">
      <alignment vertical="center"/>
    </xf>
    <xf numFmtId="38" fontId="23" fillId="32" borderId="0" xfId="0" applyNumberFormat="1" applyFont="1" applyFill="1" applyAlignment="1" applyProtection="1">
      <alignment vertical="center"/>
      <protection locked="0"/>
    </xf>
    <xf numFmtId="0" fontId="23" fillId="9" borderId="1" xfId="0" applyFont="1" applyFill="1" applyBorder="1" applyAlignment="1" applyProtection="1">
      <alignment horizontal="left"/>
      <protection locked="0"/>
    </xf>
    <xf numFmtId="0" fontId="23" fillId="9" borderId="0" xfId="0" applyFont="1" applyFill="1" applyAlignment="1" applyProtection="1">
      <alignment horizontal="left"/>
      <protection locked="0"/>
    </xf>
    <xf numFmtId="0" fontId="23" fillId="9" borderId="2" xfId="0" applyFont="1" applyFill="1" applyBorder="1" applyAlignment="1" applyProtection="1">
      <alignment horizontal="left"/>
      <protection locked="0"/>
    </xf>
    <xf numFmtId="0" fontId="1" fillId="21" borderId="34" xfId="0" applyFont="1" applyFill="1" applyBorder="1" applyAlignment="1">
      <alignment horizontal="center"/>
    </xf>
    <xf numFmtId="0" fontId="84" fillId="4" borderId="32" xfId="0" applyFont="1" applyFill="1" applyBorder="1" applyAlignment="1">
      <alignment horizontal="center" vertical="center" wrapText="1"/>
    </xf>
    <xf numFmtId="0" fontId="84" fillId="2" borderId="0" xfId="0" applyFont="1" applyFill="1"/>
    <xf numFmtId="0" fontId="27" fillId="26" borderId="0" xfId="0" applyFont="1" applyFill="1"/>
    <xf numFmtId="0" fontId="27" fillId="26" borderId="0" xfId="0" applyFont="1" applyFill="1" applyProtection="1">
      <protection locked="0"/>
    </xf>
    <xf numFmtId="165" fontId="23" fillId="26" borderId="0" xfId="0" applyNumberFormat="1" applyFont="1" applyFill="1" applyProtection="1">
      <protection locked="0"/>
    </xf>
    <xf numFmtId="0" fontId="23" fillId="26" borderId="0" xfId="0" applyFont="1" applyFill="1"/>
    <xf numFmtId="0" fontId="23" fillId="26" borderId="0" xfId="0" applyFont="1" applyFill="1" applyAlignment="1">
      <alignment horizontal="center" vertical="center"/>
    </xf>
    <xf numFmtId="165" fontId="23" fillId="18" borderId="30" xfId="1" applyNumberFormat="1" applyFont="1" applyFill="1" applyBorder="1"/>
    <xf numFmtId="165" fontId="23" fillId="18" borderId="2" xfId="1" applyNumberFormat="1" applyFont="1" applyFill="1" applyBorder="1"/>
    <xf numFmtId="165" fontId="23" fillId="18" borderId="31" xfId="1" applyNumberFormat="1" applyFont="1" applyFill="1" applyBorder="1"/>
    <xf numFmtId="165" fontId="97" fillId="26" borderId="32" xfId="0" applyNumberFormat="1" applyFont="1" applyFill="1" applyBorder="1"/>
    <xf numFmtId="0" fontId="21" fillId="9" borderId="35" xfId="0" applyFont="1" applyFill="1" applyBorder="1" applyAlignment="1">
      <alignment horizontal="left"/>
    </xf>
    <xf numFmtId="0" fontId="15" fillId="0" borderId="4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45" xfId="0" applyFont="1" applyBorder="1" applyAlignment="1">
      <alignment vertical="center" wrapText="1"/>
    </xf>
    <xf numFmtId="0" fontId="5" fillId="21" borderId="29" xfId="0" applyFont="1" applyFill="1" applyBorder="1"/>
    <xf numFmtId="0" fontId="0" fillId="21" borderId="64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31" xfId="0" applyFill="1" applyBorder="1"/>
    <xf numFmtId="0" fontId="0" fillId="3" borderId="29" xfId="0" applyFill="1" applyBorder="1"/>
    <xf numFmtId="0" fontId="0" fillId="3" borderId="25" xfId="0" applyFill="1" applyBorder="1"/>
    <xf numFmtId="0" fontId="0" fillId="3" borderId="30" xfId="0" applyFill="1" applyBorder="1"/>
    <xf numFmtId="0" fontId="1" fillId="0" borderId="32" xfId="0" applyFont="1" applyBorder="1" applyAlignment="1">
      <alignment horizontal="center"/>
    </xf>
    <xf numFmtId="0" fontId="0" fillId="21" borderId="34" xfId="0" applyFill="1" applyBorder="1"/>
    <xf numFmtId="0" fontId="6" fillId="21" borderId="34" xfId="0" applyFont="1" applyFill="1" applyBorder="1" applyAlignment="1">
      <alignment horizontal="center"/>
    </xf>
    <xf numFmtId="0" fontId="5" fillId="21" borderId="34" xfId="0" applyFont="1" applyFill="1" applyBorder="1" applyAlignment="1">
      <alignment horizontal="center"/>
    </xf>
    <xf numFmtId="0" fontId="101" fillId="21" borderId="25" xfId="0" applyFont="1" applyFill="1" applyBorder="1"/>
    <xf numFmtId="0" fontId="0" fillId="21" borderId="66" xfId="0" applyFill="1" applyBorder="1"/>
    <xf numFmtId="0" fontId="5" fillId="21" borderId="25" xfId="0" applyFont="1" applyFill="1" applyBorder="1"/>
    <xf numFmtId="0" fontId="9" fillId="12" borderId="30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35" fillId="21" borderId="1" xfId="0" applyFont="1" applyFill="1" applyBorder="1"/>
    <xf numFmtId="0" fontId="35" fillId="21" borderId="0" xfId="0" applyFont="1" applyFill="1"/>
    <xf numFmtId="0" fontId="35" fillId="21" borderId="2" xfId="0" applyFont="1" applyFill="1" applyBorder="1"/>
    <xf numFmtId="0" fontId="10" fillId="12" borderId="2" xfId="0" applyFont="1" applyFill="1" applyBorder="1" applyAlignment="1">
      <alignment horizontal="center" vertical="center"/>
    </xf>
    <xf numFmtId="0" fontId="9" fillId="12" borderId="31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10" fillId="12" borderId="32" xfId="0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0" xfId="0" applyFont="1"/>
    <xf numFmtId="0" fontId="34" fillId="0" borderId="2" xfId="0" applyFont="1" applyBorder="1"/>
    <xf numFmtId="0" fontId="9" fillId="12" borderId="32" xfId="0" applyFont="1" applyFill="1" applyBorder="1" applyAlignment="1">
      <alignment horizontal="center" vertical="center"/>
    </xf>
    <xf numFmtId="0" fontId="13" fillId="12" borderId="27" xfId="0" applyFont="1" applyFill="1" applyBorder="1" applyAlignment="1">
      <alignment horizontal="center" vertical="center"/>
    </xf>
    <xf numFmtId="0" fontId="62" fillId="7" borderId="0" xfId="0" applyFont="1" applyFill="1" applyAlignment="1">
      <alignment horizontal="right" vertical="center"/>
    </xf>
    <xf numFmtId="0" fontId="34" fillId="45" borderId="17" xfId="0" applyFont="1" applyFill="1" applyBorder="1" applyAlignment="1">
      <alignment wrapText="1"/>
    </xf>
    <xf numFmtId="0" fontId="34" fillId="45" borderId="18" xfId="0" applyFont="1" applyFill="1" applyBorder="1" applyAlignment="1">
      <alignment wrapText="1"/>
    </xf>
    <xf numFmtId="0" fontId="9" fillId="45" borderId="18" xfId="0" applyFont="1" applyFill="1" applyBorder="1" applyAlignment="1">
      <alignment horizontal="center" vertical="center"/>
    </xf>
    <xf numFmtId="165" fontId="9" fillId="45" borderId="18" xfId="1" applyNumberFormat="1" applyFont="1" applyFill="1" applyBorder="1" applyAlignment="1">
      <alignment vertical="center"/>
    </xf>
    <xf numFmtId="0" fontId="6" fillId="45" borderId="18" xfId="0" applyFont="1" applyFill="1" applyBorder="1" applyAlignment="1">
      <alignment vertical="center" wrapText="1"/>
    </xf>
    <xf numFmtId="0" fontId="34" fillId="45" borderId="18" xfId="0" applyFont="1" applyFill="1" applyBorder="1" applyAlignment="1">
      <alignment vertical="center" wrapText="1"/>
    </xf>
    <xf numFmtId="165" fontId="5" fillId="45" borderId="18" xfId="0" applyNumberFormat="1" applyFont="1" applyFill="1" applyBorder="1" applyAlignment="1">
      <alignment vertical="center"/>
    </xf>
    <xf numFmtId="165" fontId="9" fillId="45" borderId="18" xfId="0" applyNumberFormat="1" applyFont="1" applyFill="1" applyBorder="1" applyAlignment="1">
      <alignment vertical="center"/>
    </xf>
    <xf numFmtId="165" fontId="9" fillId="45" borderId="31" xfId="0" applyNumberFormat="1" applyFont="1" applyFill="1" applyBorder="1" applyAlignment="1">
      <alignment vertical="center"/>
    </xf>
    <xf numFmtId="0" fontId="22" fillId="4" borderId="32" xfId="0" applyFont="1" applyFill="1" applyBorder="1"/>
    <xf numFmtId="0" fontId="22" fillId="4" borderId="26" xfId="0" applyFont="1" applyFill="1" applyBorder="1"/>
    <xf numFmtId="165" fontId="22" fillId="4" borderId="33" xfId="0" applyNumberFormat="1" applyFont="1" applyFill="1" applyBorder="1" applyAlignment="1">
      <alignment horizontal="left" vertical="center"/>
    </xf>
    <xf numFmtId="165" fontId="22" fillId="4" borderId="35" xfId="0" applyNumberFormat="1" applyFont="1" applyFill="1" applyBorder="1"/>
    <xf numFmtId="165" fontId="20" fillId="4" borderId="32" xfId="0" applyNumberFormat="1" applyFont="1" applyFill="1" applyBorder="1" applyAlignment="1">
      <alignment horizontal="center" vertical="center"/>
    </xf>
    <xf numFmtId="165" fontId="22" fillId="6" borderId="32" xfId="0" applyNumberFormat="1" applyFont="1" applyFill="1" applyBorder="1" applyAlignment="1">
      <alignment horizontal="center" vertical="center"/>
    </xf>
    <xf numFmtId="165" fontId="21" fillId="9" borderId="26" xfId="0" applyNumberFormat="1" applyFont="1" applyFill="1" applyBorder="1"/>
    <xf numFmtId="165" fontId="21" fillId="9" borderId="27" xfId="0" applyNumberFormat="1" applyFont="1" applyFill="1" applyBorder="1"/>
    <xf numFmtId="165" fontId="21" fillId="9" borderId="28" xfId="0" applyNumberFormat="1" applyFont="1" applyFill="1" applyBorder="1"/>
    <xf numFmtId="0" fontId="20" fillId="4" borderId="68" xfId="0" applyFont="1" applyFill="1" applyBorder="1" applyAlignment="1">
      <alignment horizontal="center" vertical="center" wrapText="1"/>
    </xf>
    <xf numFmtId="0" fontId="20" fillId="11" borderId="72" xfId="0" applyFont="1" applyFill="1" applyBorder="1" applyAlignment="1">
      <alignment horizontal="center" vertical="center" wrapText="1"/>
    </xf>
    <xf numFmtId="0" fontId="109" fillId="2" borderId="0" xfId="0" applyFont="1" applyFill="1"/>
    <xf numFmtId="0" fontId="110" fillId="7" borderId="0" xfId="0" applyFont="1" applyFill="1"/>
    <xf numFmtId="165" fontId="21" fillId="9" borderId="30" xfId="0" applyNumberFormat="1" applyFont="1" applyFill="1" applyBorder="1" applyProtection="1">
      <protection locked="0"/>
    </xf>
    <xf numFmtId="165" fontId="21" fillId="9" borderId="2" xfId="0" applyNumberFormat="1" applyFont="1" applyFill="1" applyBorder="1" applyProtection="1">
      <protection locked="0"/>
    </xf>
    <xf numFmtId="165" fontId="21" fillId="9" borderId="31" xfId="0" applyNumberFormat="1" applyFont="1" applyFill="1" applyBorder="1" applyProtection="1">
      <protection locked="0"/>
    </xf>
    <xf numFmtId="165" fontId="21" fillId="9" borderId="74" xfId="0" applyNumberFormat="1" applyFont="1" applyFill="1" applyBorder="1" applyProtection="1">
      <protection locked="0"/>
    </xf>
    <xf numFmtId="165" fontId="21" fillId="9" borderId="75" xfId="0" applyNumberFormat="1" applyFont="1" applyFill="1" applyBorder="1" applyProtection="1">
      <protection locked="0"/>
    </xf>
    <xf numFmtId="165" fontId="21" fillId="9" borderId="72" xfId="0" applyNumberFormat="1" applyFont="1" applyFill="1" applyBorder="1" applyProtection="1">
      <protection locked="0"/>
    </xf>
    <xf numFmtId="0" fontId="23" fillId="51" borderId="0" xfId="0" applyFont="1" applyFill="1"/>
    <xf numFmtId="0" fontId="23" fillId="51" borderId="76" xfId="0" applyFont="1" applyFill="1" applyBorder="1"/>
    <xf numFmtId="0" fontId="22" fillId="52" borderId="17" xfId="0" applyFont="1" applyFill="1" applyBorder="1"/>
    <xf numFmtId="0" fontId="22" fillId="53" borderId="0" xfId="0" applyFont="1" applyFill="1"/>
    <xf numFmtId="165" fontId="22" fillId="52" borderId="77" xfId="0" applyNumberFormat="1" applyFont="1" applyFill="1" applyBorder="1"/>
    <xf numFmtId="0" fontId="22" fillId="53" borderId="78" xfId="0" applyFont="1" applyFill="1" applyBorder="1"/>
    <xf numFmtId="0" fontId="22" fillId="52" borderId="77" xfId="0" applyFont="1" applyFill="1" applyBorder="1"/>
    <xf numFmtId="0" fontId="22" fillId="53" borderId="79" xfId="0" applyFont="1" applyFill="1" applyBorder="1"/>
    <xf numFmtId="0" fontId="22" fillId="52" borderId="80" xfId="0" applyFont="1" applyFill="1" applyBorder="1" applyAlignment="1">
      <alignment horizontal="center" vertical="center" wrapText="1"/>
    </xf>
    <xf numFmtId="0" fontId="22" fillId="53" borderId="81" xfId="0" applyFont="1" applyFill="1" applyBorder="1"/>
    <xf numFmtId="0" fontId="22" fillId="53" borderId="25" xfId="0" applyFont="1" applyFill="1" applyBorder="1"/>
    <xf numFmtId="0" fontId="22" fillId="52" borderId="82" xfId="0" applyFont="1" applyFill="1" applyBorder="1"/>
    <xf numFmtId="0" fontId="20" fillId="53" borderId="0" xfId="0" applyFont="1" applyFill="1"/>
    <xf numFmtId="0" fontId="20" fillId="52" borderId="32" xfId="0" applyFont="1" applyFill="1" applyBorder="1" applyAlignment="1">
      <alignment horizontal="center" vertical="center" wrapText="1"/>
    </xf>
    <xf numFmtId="0" fontId="20" fillId="52" borderId="80" xfId="0" applyFont="1" applyFill="1" applyBorder="1" applyAlignment="1">
      <alignment horizontal="center" vertical="center" wrapText="1"/>
    </xf>
    <xf numFmtId="0" fontId="111" fillId="51" borderId="0" xfId="0" applyFont="1" applyFill="1"/>
    <xf numFmtId="165" fontId="21" fillId="51" borderId="0" xfId="0" applyNumberFormat="1" applyFont="1" applyFill="1"/>
    <xf numFmtId="0" fontId="113" fillId="51" borderId="0" xfId="0" applyFont="1" applyFill="1"/>
    <xf numFmtId="0" fontId="2" fillId="59" borderId="0" xfId="0" applyFont="1" applyFill="1"/>
    <xf numFmtId="0" fontId="27" fillId="13" borderId="68" xfId="0" applyFont="1" applyFill="1" applyBorder="1" applyAlignment="1">
      <alignment horizontal="center" vertical="center" wrapText="1"/>
    </xf>
    <xf numFmtId="0" fontId="20" fillId="7" borderId="11" xfId="0" applyFont="1" applyFill="1" applyBorder="1"/>
    <xf numFmtId="165" fontId="20" fillId="6" borderId="3" xfId="0" applyNumberFormat="1" applyFont="1" applyFill="1" applyBorder="1" applyAlignment="1">
      <alignment horizontal="right"/>
    </xf>
    <xf numFmtId="3" fontId="20" fillId="6" borderId="4" xfId="0" applyNumberFormat="1" applyFont="1" applyFill="1" applyBorder="1" applyAlignment="1">
      <alignment horizontal="right"/>
    </xf>
    <xf numFmtId="165" fontId="22" fillId="60" borderId="32" xfId="0" applyNumberFormat="1" applyFont="1" applyFill="1" applyBorder="1"/>
    <xf numFmtId="0" fontId="39" fillId="4" borderId="0" xfId="0" applyFont="1" applyFill="1" applyAlignment="1">
      <alignment horizontal="left" vertical="center"/>
    </xf>
    <xf numFmtId="0" fontId="38" fillId="18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23" fillId="2" borderId="0" xfId="0" applyFont="1" applyFill="1" applyAlignment="1">
      <alignment horizontal="left"/>
    </xf>
    <xf numFmtId="0" fontId="23" fillId="9" borderId="0" xfId="0" applyFont="1" applyFill="1" applyAlignment="1">
      <alignment horizontal="left"/>
    </xf>
    <xf numFmtId="0" fontId="22" fillId="4" borderId="0" xfId="0" applyFont="1" applyFill="1" applyAlignment="1">
      <alignment horizontal="center" vertical="center"/>
    </xf>
    <xf numFmtId="0" fontId="21" fillId="9" borderId="0" xfId="0" applyFont="1" applyFill="1" applyAlignment="1">
      <alignment horizontal="left"/>
    </xf>
    <xf numFmtId="0" fontId="23" fillId="9" borderId="32" xfId="0" applyFont="1" applyFill="1" applyBorder="1" applyAlignment="1">
      <alignment horizontal="left"/>
    </xf>
    <xf numFmtId="0" fontId="32" fillId="8" borderId="33" xfId="0" applyFont="1" applyFill="1" applyBorder="1" applyAlignment="1">
      <alignment horizontal="left"/>
    </xf>
    <xf numFmtId="0" fontId="32" fillId="8" borderId="34" xfId="0" applyFont="1" applyFill="1" applyBorder="1" applyAlignment="1">
      <alignment horizontal="left"/>
    </xf>
    <xf numFmtId="0" fontId="32" fillId="8" borderId="35" xfId="0" applyFont="1" applyFill="1" applyBorder="1" applyAlignment="1">
      <alignment horizontal="left"/>
    </xf>
    <xf numFmtId="0" fontId="98" fillId="26" borderId="0" xfId="0" applyFont="1" applyFill="1" applyAlignment="1">
      <alignment horizontal="center" vertical="center" wrapText="1"/>
    </xf>
    <xf numFmtId="165" fontId="23" fillId="9" borderId="27" xfId="0" applyNumberFormat="1" applyFont="1" applyFill="1" applyBorder="1"/>
    <xf numFmtId="165" fontId="23" fillId="9" borderId="28" xfId="0" applyNumberFormat="1" applyFont="1" applyFill="1" applyBorder="1"/>
    <xf numFmtId="0" fontId="90" fillId="2" borderId="0" xfId="0" applyFont="1" applyFill="1"/>
    <xf numFmtId="0" fontId="125" fillId="2" borderId="0" xfId="0" applyFont="1" applyFill="1"/>
    <xf numFmtId="3" fontId="71" fillId="36" borderId="49" xfId="0" applyNumberFormat="1" applyFont="1" applyFill="1" applyBorder="1" applyAlignment="1" applyProtection="1">
      <alignment horizontal="center" vertical="center" wrapText="1"/>
      <protection locked="0"/>
    </xf>
    <xf numFmtId="165" fontId="23" fillId="11" borderId="27" xfId="0" applyNumberFormat="1" applyFont="1" applyFill="1" applyBorder="1"/>
    <xf numFmtId="165" fontId="23" fillId="11" borderId="28" xfId="0" applyNumberFormat="1" applyFont="1" applyFill="1" applyBorder="1"/>
    <xf numFmtId="165" fontId="126" fillId="26" borderId="0" xfId="0" applyNumberFormat="1" applyFont="1" applyFill="1" applyProtection="1">
      <protection locked="0"/>
    </xf>
    <xf numFmtId="0" fontId="126" fillId="26" borderId="0" xfId="0" applyFont="1" applyFill="1"/>
    <xf numFmtId="165" fontId="126" fillId="26" borderId="0" xfId="0" applyNumberFormat="1" applyFont="1" applyFill="1"/>
    <xf numFmtId="0" fontId="22" fillId="4" borderId="0" xfId="0" applyFont="1" applyFill="1"/>
    <xf numFmtId="0" fontId="127" fillId="2" borderId="0" xfId="0" applyFont="1" applyFill="1"/>
    <xf numFmtId="0" fontId="119" fillId="2" borderId="0" xfId="0" applyFont="1" applyFill="1"/>
    <xf numFmtId="165" fontId="119" fillId="2" borderId="0" xfId="0" applyNumberFormat="1" applyFont="1" applyFill="1"/>
    <xf numFmtId="0" fontId="38" fillId="0" borderId="0" xfId="0" applyFont="1"/>
    <xf numFmtId="0" fontId="84" fillId="7" borderId="0" xfId="0" applyFont="1" applyFill="1"/>
    <xf numFmtId="165" fontId="84" fillId="7" borderId="0" xfId="0" applyNumberFormat="1" applyFont="1" applyFill="1"/>
    <xf numFmtId="3" fontId="128" fillId="2" borderId="0" xfId="0" applyNumberFormat="1" applyFont="1" applyFill="1" applyAlignment="1">
      <alignment horizontal="center" vertical="center" wrapText="1"/>
    </xf>
    <xf numFmtId="3" fontId="84" fillId="2" borderId="0" xfId="0" applyNumberFormat="1" applyFont="1" applyFill="1"/>
    <xf numFmtId="0" fontId="84" fillId="5" borderId="0" xfId="0" applyFont="1" applyFill="1"/>
    <xf numFmtId="3" fontId="84" fillId="7" borderId="0" xfId="0" applyNumberFormat="1" applyFont="1" applyFill="1"/>
    <xf numFmtId="3" fontId="119" fillId="2" borderId="0" xfId="0" applyNumberFormat="1" applyFont="1" applyFill="1"/>
    <xf numFmtId="0" fontId="119" fillId="5" borderId="0" xfId="0" applyFont="1" applyFill="1"/>
    <xf numFmtId="3" fontId="23" fillId="0" borderId="0" xfId="0" applyNumberFormat="1" applyFont="1"/>
    <xf numFmtId="165" fontId="119" fillId="9" borderId="26" xfId="0" applyNumberFormat="1" applyFont="1" applyFill="1" applyBorder="1" applyProtection="1">
      <protection locked="0"/>
    </xf>
    <xf numFmtId="165" fontId="119" fillId="4" borderId="26" xfId="0" applyNumberFormat="1" applyFont="1" applyFill="1" applyBorder="1"/>
    <xf numFmtId="165" fontId="119" fillId="9" borderId="27" xfId="0" applyNumberFormat="1" applyFont="1" applyFill="1" applyBorder="1" applyProtection="1">
      <protection locked="0"/>
    </xf>
    <xf numFmtId="165" fontId="119" fillId="32" borderId="27" xfId="0" applyNumberFormat="1" applyFont="1" applyFill="1" applyBorder="1" applyProtection="1">
      <protection locked="0"/>
    </xf>
    <xf numFmtId="165" fontId="119" fillId="4" borderId="27" xfId="0" applyNumberFormat="1" applyFont="1" applyFill="1" applyBorder="1"/>
    <xf numFmtId="165" fontId="84" fillId="4" borderId="32" xfId="0" applyNumberFormat="1" applyFont="1" applyFill="1" applyBorder="1"/>
    <xf numFmtId="165" fontId="84" fillId="4" borderId="26" xfId="0" applyNumberFormat="1" applyFont="1" applyFill="1" applyBorder="1"/>
    <xf numFmtId="0" fontId="84" fillId="6" borderId="32" xfId="0" applyFont="1" applyFill="1" applyBorder="1" applyAlignment="1">
      <alignment horizontal="center"/>
    </xf>
    <xf numFmtId="0" fontId="84" fillId="6" borderId="28" xfId="0" applyFont="1" applyFill="1" applyBorder="1" applyAlignment="1">
      <alignment horizontal="center"/>
    </xf>
    <xf numFmtId="3" fontId="84" fillId="6" borderId="28" xfId="0" applyNumberFormat="1" applyFont="1" applyFill="1" applyBorder="1" applyAlignment="1">
      <alignment horizontal="center"/>
    </xf>
    <xf numFmtId="3" fontId="84" fillId="4" borderId="32" xfId="0" applyNumberFormat="1" applyFont="1" applyFill="1" applyBorder="1"/>
    <xf numFmtId="165" fontId="84" fillId="4" borderId="32" xfId="0" applyNumberFormat="1" applyFont="1" applyFill="1" applyBorder="1" applyAlignment="1">
      <alignment horizontal="center" vertical="center" wrapText="1"/>
    </xf>
    <xf numFmtId="3" fontId="84" fillId="6" borderId="32" xfId="0" applyNumberFormat="1" applyFont="1" applyFill="1" applyBorder="1" applyAlignment="1">
      <alignment horizontal="center"/>
    </xf>
    <xf numFmtId="165" fontId="129" fillId="9" borderId="27" xfId="0" applyNumberFormat="1" applyFont="1" applyFill="1" applyBorder="1" applyProtection="1">
      <protection locked="0"/>
    </xf>
    <xf numFmtId="0" fontId="79" fillId="40" borderId="99" xfId="0" applyFont="1" applyFill="1" applyBorder="1" applyAlignment="1">
      <alignment horizontal="center" vertical="center" wrapText="1"/>
    </xf>
    <xf numFmtId="0" fontId="79" fillId="40" borderId="101" xfId="0" applyFont="1" applyFill="1" applyBorder="1" applyAlignment="1">
      <alignment horizontal="center" vertical="center"/>
    </xf>
    <xf numFmtId="3" fontId="6" fillId="2" borderId="32" xfId="0" applyNumberFormat="1" applyFont="1" applyFill="1" applyBorder="1" applyAlignment="1">
      <alignment horizontal="center" vertical="center" wrapText="1"/>
    </xf>
    <xf numFmtId="0" fontId="23" fillId="20" borderId="0" xfId="0" applyFont="1" applyFill="1"/>
    <xf numFmtId="0" fontId="21" fillId="20" borderId="0" xfId="0" applyFont="1" applyFill="1"/>
    <xf numFmtId="165" fontId="134" fillId="27" borderId="26" xfId="0" applyNumberFormat="1" applyFont="1" applyFill="1" applyBorder="1" applyAlignment="1">
      <alignment horizontal="center" vertical="center"/>
    </xf>
    <xf numFmtId="165" fontId="119" fillId="9" borderId="28" xfId="0" applyNumberFormat="1" applyFont="1" applyFill="1" applyBorder="1" applyProtection="1">
      <protection locked="0"/>
    </xf>
    <xf numFmtId="165" fontId="119" fillId="32" borderId="28" xfId="0" applyNumberFormat="1" applyFont="1" applyFill="1" applyBorder="1" applyProtection="1">
      <protection locked="0"/>
    </xf>
    <xf numFmtId="165" fontId="119" fillId="4" borderId="28" xfId="0" applyNumberFormat="1" applyFont="1" applyFill="1" applyBorder="1"/>
    <xf numFmtId="0" fontId="22" fillId="4" borderId="35" xfId="0" applyFont="1" applyFill="1" applyBorder="1" applyAlignment="1">
      <alignment horizontal="center"/>
    </xf>
    <xf numFmtId="0" fontId="46" fillId="29" borderId="0" xfId="0" applyFont="1" applyFill="1"/>
    <xf numFmtId="0" fontId="46" fillId="29" borderId="0" xfId="0" applyFont="1" applyFill="1" applyAlignment="1">
      <alignment horizontal="left"/>
    </xf>
    <xf numFmtId="9" fontId="140" fillId="26" borderId="29" xfId="2" applyFont="1" applyFill="1" applyBorder="1"/>
    <xf numFmtId="3" fontId="140" fillId="26" borderId="1" xfId="0" applyNumberFormat="1" applyFont="1" applyFill="1" applyBorder="1"/>
    <xf numFmtId="3" fontId="140" fillId="26" borderId="17" xfId="0" applyNumberFormat="1" applyFont="1" applyFill="1" applyBorder="1"/>
    <xf numFmtId="9" fontId="22" fillId="4" borderId="32" xfId="2" applyFont="1" applyFill="1" applyBorder="1" applyProtection="1"/>
    <xf numFmtId="165" fontId="22" fillId="26" borderId="32" xfId="0" applyNumberFormat="1" applyFont="1" applyFill="1" applyBorder="1" applyAlignment="1">
      <alignment horizontal="center"/>
    </xf>
    <xf numFmtId="0" fontId="34" fillId="21" borderId="25" xfId="0" applyFont="1" applyFill="1" applyBorder="1"/>
    <xf numFmtId="0" fontId="33" fillId="21" borderId="64" xfId="0" applyFont="1" applyFill="1" applyBorder="1"/>
    <xf numFmtId="0" fontId="33" fillId="21" borderId="25" xfId="0" applyFont="1" applyFill="1" applyBorder="1"/>
    <xf numFmtId="0" fontId="33" fillId="21" borderId="0" xfId="0" applyFont="1" applyFill="1"/>
    <xf numFmtId="0" fontId="6" fillId="0" borderId="65" xfId="0" applyFont="1" applyBorder="1" applyAlignment="1">
      <alignment horizontal="center" vertical="center"/>
    </xf>
    <xf numFmtId="0" fontId="0" fillId="21" borderId="25" xfId="0" applyFill="1" applyBorder="1" applyAlignment="1">
      <alignment vertical="center"/>
    </xf>
    <xf numFmtId="0" fontId="33" fillId="21" borderId="29" xfId="0" applyFont="1" applyFill="1" applyBorder="1" applyAlignment="1">
      <alignment vertical="center"/>
    </xf>
    <xf numFmtId="0" fontId="33" fillId="21" borderId="33" xfId="0" applyFont="1" applyFill="1" applyBorder="1" applyAlignment="1">
      <alignment vertical="center"/>
    </xf>
    <xf numFmtId="165" fontId="10" fillId="0" borderId="32" xfId="0" applyNumberFormat="1" applyFont="1" applyBorder="1" applyAlignment="1">
      <alignment horizontal="right" vertical="center"/>
    </xf>
    <xf numFmtId="0" fontId="33" fillId="21" borderId="1" xfId="0" applyFont="1" applyFill="1" applyBorder="1"/>
    <xf numFmtId="0" fontId="33" fillId="21" borderId="29" xfId="0" applyFont="1" applyFill="1" applyBorder="1"/>
    <xf numFmtId="0" fontId="12" fillId="0" borderId="103" xfId="0" applyFont="1" applyBorder="1" applyAlignment="1">
      <alignment horizontal="center"/>
    </xf>
    <xf numFmtId="0" fontId="33" fillId="21" borderId="17" xfId="0" applyFont="1" applyFill="1" applyBorder="1"/>
    <xf numFmtId="0" fontId="2" fillId="28" borderId="30" xfId="0" applyFont="1" applyFill="1" applyBorder="1"/>
    <xf numFmtId="0" fontId="116" fillId="46" borderId="25" xfId="0" applyFont="1" applyFill="1" applyBorder="1" applyAlignment="1">
      <alignment vertical="center" wrapText="1"/>
    </xf>
    <xf numFmtId="0" fontId="116" fillId="46" borderId="0" xfId="0" applyFont="1" applyFill="1" applyAlignment="1">
      <alignment vertical="center" wrapText="1"/>
    </xf>
    <xf numFmtId="0" fontId="62" fillId="26" borderId="32" xfId="0" applyFont="1" applyFill="1" applyBorder="1" applyAlignment="1" applyProtection="1">
      <alignment horizontal="center" vertical="center"/>
      <protection locked="0"/>
    </xf>
    <xf numFmtId="0" fontId="116" fillId="18" borderId="35" xfId="0" applyFont="1" applyFill="1" applyBorder="1" applyAlignment="1">
      <alignment vertical="center"/>
    </xf>
    <xf numFmtId="165" fontId="56" fillId="30" borderId="0" xfId="0" applyNumberFormat="1" applyFont="1" applyFill="1" applyAlignment="1">
      <alignment vertical="center"/>
    </xf>
    <xf numFmtId="0" fontId="0" fillId="5" borderId="0" xfId="0" applyFill="1"/>
    <xf numFmtId="0" fontId="0" fillId="9" borderId="0" xfId="0" applyFill="1"/>
    <xf numFmtId="0" fontId="91" fillId="9" borderId="0" xfId="0" applyFont="1" applyFill="1" applyAlignment="1">
      <alignment horizontal="center"/>
    </xf>
    <xf numFmtId="0" fontId="76" fillId="9" borderId="0" xfId="0" applyFont="1" applyFill="1" applyAlignment="1">
      <alignment horizontal="justify" vertical="distributed" wrapText="1"/>
    </xf>
    <xf numFmtId="0" fontId="61" fillId="9" borderId="0" xfId="3" applyFill="1"/>
    <xf numFmtId="0" fontId="144" fillId="0" borderId="0" xfId="0" applyFont="1"/>
    <xf numFmtId="38" fontId="62" fillId="5" borderId="0" xfId="0" applyNumberFormat="1" applyFont="1" applyFill="1"/>
    <xf numFmtId="0" fontId="114" fillId="59" borderId="0" xfId="0" applyFont="1" applyFill="1" applyAlignment="1">
      <alignment wrapText="1"/>
    </xf>
    <xf numFmtId="0" fontId="2" fillId="0" borderId="32" xfId="0" applyFont="1" applyBorder="1"/>
    <xf numFmtId="4" fontId="2" fillId="0" borderId="32" xfId="1" applyNumberFormat="1" applyFont="1" applyFill="1" applyBorder="1"/>
    <xf numFmtId="4" fontId="2" fillId="0" borderId="32" xfId="0" applyNumberFormat="1" applyFont="1" applyBorder="1"/>
    <xf numFmtId="165" fontId="112" fillId="59" borderId="32" xfId="0" applyNumberFormat="1" applyFont="1" applyFill="1" applyBorder="1" applyAlignment="1" applyProtection="1">
      <alignment horizontal="center" vertical="center"/>
      <protection locked="0"/>
    </xf>
    <xf numFmtId="0" fontId="68" fillId="35" borderId="33" xfId="0" applyFont="1" applyFill="1" applyBorder="1" applyAlignment="1">
      <alignment vertical="center" wrapText="1"/>
    </xf>
    <xf numFmtId="0" fontId="1" fillId="0" borderId="0" xfId="0" applyFont="1"/>
    <xf numFmtId="0" fontId="0" fillId="0" borderId="73" xfId="0" applyBorder="1"/>
    <xf numFmtId="0" fontId="145" fillId="0" borderId="0" xfId="0" applyFont="1"/>
    <xf numFmtId="165" fontId="0" fillId="0" borderId="0" xfId="1" applyNumberFormat="1" applyFont="1" applyAlignment="1"/>
    <xf numFmtId="0" fontId="0" fillId="0" borderId="104" xfId="0" applyBorder="1"/>
    <xf numFmtId="165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 applyAlignment="1"/>
    <xf numFmtId="0" fontId="0" fillId="0" borderId="18" xfId="0" applyBorder="1"/>
    <xf numFmtId="0" fontId="18" fillId="4" borderId="0" xfId="0" applyFont="1" applyFill="1" applyAlignment="1">
      <alignment vertical="center" wrapText="1"/>
    </xf>
    <xf numFmtId="0" fontId="114" fillId="59" borderId="0" xfId="0" applyFont="1" applyFill="1" applyAlignment="1">
      <alignment horizontal="center" wrapText="1"/>
    </xf>
    <xf numFmtId="0" fontId="114" fillId="59" borderId="0" xfId="0" applyFont="1" applyFill="1" applyAlignment="1">
      <alignment horizontal="center" vertical="center" wrapText="1"/>
    </xf>
    <xf numFmtId="0" fontId="147" fillId="46" borderId="0" xfId="0" applyFont="1" applyFill="1"/>
    <xf numFmtId="0" fontId="74" fillId="46" borderId="0" xfId="0" applyFont="1" applyFill="1"/>
    <xf numFmtId="0" fontId="148" fillId="46" borderId="0" xfId="0" applyFont="1" applyFill="1"/>
    <xf numFmtId="49" fontId="149" fillId="26" borderId="28" xfId="0" applyNumberFormat="1" applyFont="1" applyFill="1" applyBorder="1" applyAlignment="1">
      <alignment horizontal="center" vertical="center"/>
    </xf>
    <xf numFmtId="170" fontId="149" fillId="26" borderId="28" xfId="0" applyNumberFormat="1" applyFont="1" applyFill="1" applyBorder="1" applyAlignment="1">
      <alignment horizontal="center" vertical="center"/>
    </xf>
    <xf numFmtId="49" fontId="149" fillId="26" borderId="32" xfId="0" applyNumberFormat="1" applyFont="1" applyFill="1" applyBorder="1" applyAlignment="1">
      <alignment horizontal="center" vertical="center"/>
    </xf>
    <xf numFmtId="170" fontId="149" fillId="26" borderId="32" xfId="0" applyNumberFormat="1" applyFont="1" applyFill="1" applyBorder="1" applyAlignment="1">
      <alignment horizontal="center" vertical="center"/>
    </xf>
    <xf numFmtId="49" fontId="149" fillId="62" borderId="32" xfId="0" applyNumberFormat="1" applyFont="1" applyFill="1" applyBorder="1" applyAlignment="1">
      <alignment horizontal="center" vertical="center"/>
    </xf>
    <xf numFmtId="170" fontId="149" fillId="62" borderId="32" xfId="0" applyNumberFormat="1" applyFont="1" applyFill="1" applyBorder="1" applyAlignment="1">
      <alignment horizontal="center" vertical="center"/>
    </xf>
    <xf numFmtId="49" fontId="149" fillId="62" borderId="28" xfId="0" applyNumberFormat="1" applyFont="1" applyFill="1" applyBorder="1" applyAlignment="1">
      <alignment horizontal="center" vertical="center"/>
    </xf>
    <xf numFmtId="170" fontId="149" fillId="62" borderId="28" xfId="0" applyNumberFormat="1" applyFont="1" applyFill="1" applyBorder="1" applyAlignment="1">
      <alignment horizontal="center" vertical="center"/>
    </xf>
    <xf numFmtId="49" fontId="149" fillId="63" borderId="28" xfId="0" applyNumberFormat="1" applyFont="1" applyFill="1" applyBorder="1" applyAlignment="1">
      <alignment horizontal="center" vertical="center"/>
    </xf>
    <xf numFmtId="170" fontId="149" fillId="63" borderId="28" xfId="0" applyNumberFormat="1" applyFont="1" applyFill="1" applyBorder="1" applyAlignment="1">
      <alignment horizontal="center" vertical="center"/>
    </xf>
    <xf numFmtId="49" fontId="149" fillId="63" borderId="32" xfId="0" applyNumberFormat="1" applyFont="1" applyFill="1" applyBorder="1" applyAlignment="1">
      <alignment horizontal="center" vertical="center"/>
    </xf>
    <xf numFmtId="170" fontId="149" fillId="63" borderId="32" xfId="0" applyNumberFormat="1" applyFont="1" applyFill="1" applyBorder="1" applyAlignment="1">
      <alignment horizontal="center" vertical="center"/>
    </xf>
    <xf numFmtId="0" fontId="27" fillId="29" borderId="0" xfId="0" applyFont="1" applyFill="1" applyAlignment="1" applyProtection="1">
      <alignment vertical="center"/>
      <protection locked="0"/>
    </xf>
    <xf numFmtId="0" fontId="27" fillId="29" borderId="0" xfId="0" applyFont="1" applyFill="1" applyAlignment="1">
      <alignment vertical="center"/>
    </xf>
    <xf numFmtId="0" fontId="56" fillId="15" borderId="32" xfId="0" applyFont="1" applyFill="1" applyBorder="1" applyAlignment="1">
      <alignment horizontal="center" vertical="center"/>
    </xf>
    <xf numFmtId="0" fontId="151" fillId="51" borderId="0" xfId="0" applyFont="1" applyFill="1" applyAlignment="1">
      <alignment horizontal="center" vertical="center"/>
    </xf>
    <xf numFmtId="4" fontId="2" fillId="0" borderId="0" xfId="0" applyNumberFormat="1" applyFont="1"/>
    <xf numFmtId="0" fontId="22" fillId="52" borderId="32" xfId="0" applyFont="1" applyFill="1" applyBorder="1" applyAlignment="1">
      <alignment horizontal="center" vertical="center" wrapText="1"/>
    </xf>
    <xf numFmtId="0" fontId="22" fillId="54" borderId="32" xfId="0" applyFont="1" applyFill="1" applyBorder="1" applyAlignment="1">
      <alignment horizontal="center" vertical="center" wrapText="1"/>
    </xf>
    <xf numFmtId="0" fontId="22" fillId="55" borderId="32" xfId="0" applyFont="1" applyFill="1" applyBorder="1" applyAlignment="1">
      <alignment horizontal="center" vertical="center" wrapText="1"/>
    </xf>
    <xf numFmtId="0" fontId="22" fillId="56" borderId="32" xfId="0" applyFont="1" applyFill="1" applyBorder="1" applyAlignment="1">
      <alignment horizontal="center" vertical="center" wrapText="1"/>
    </xf>
    <xf numFmtId="165" fontId="21" fillId="57" borderId="32" xfId="0" applyNumberFormat="1" applyFont="1" applyFill="1" applyBorder="1" applyProtection="1">
      <protection locked="0"/>
    </xf>
    <xf numFmtId="165" fontId="21" fillId="52" borderId="32" xfId="0" applyNumberFormat="1" applyFont="1" applyFill="1" applyBorder="1"/>
    <xf numFmtId="165" fontId="21" fillId="54" borderId="32" xfId="0" applyNumberFormat="1" applyFont="1" applyFill="1" applyBorder="1"/>
    <xf numFmtId="165" fontId="21" fillId="58" borderId="32" xfId="0" applyNumberFormat="1" applyFont="1" applyFill="1" applyBorder="1" applyProtection="1">
      <protection locked="0"/>
    </xf>
    <xf numFmtId="166" fontId="21" fillId="57" borderId="32" xfId="0" applyNumberFormat="1" applyFont="1" applyFill="1" applyBorder="1"/>
    <xf numFmtId="166" fontId="21" fillId="57" borderId="32" xfId="0" applyNumberFormat="1" applyFont="1" applyFill="1" applyBorder="1" applyProtection="1">
      <protection locked="0"/>
    </xf>
    <xf numFmtId="165" fontId="21" fillId="57" borderId="32" xfId="0" applyNumberFormat="1" applyFont="1" applyFill="1" applyBorder="1"/>
    <xf numFmtId="0" fontId="2" fillId="0" borderId="0" xfId="0" applyFont="1" applyFill="1"/>
    <xf numFmtId="0" fontId="115" fillId="0" borderId="0" xfId="0" applyFont="1" applyFill="1" applyAlignment="1">
      <alignment vertical="center" wrapText="1"/>
    </xf>
    <xf numFmtId="0" fontId="114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64" borderId="0" xfId="0" applyFont="1" applyFill="1"/>
    <xf numFmtId="0" fontId="76" fillId="9" borderId="0" xfId="0" applyFont="1" applyFill="1" applyAlignment="1">
      <alignment horizontal="justify" vertical="distributed" wrapText="1"/>
    </xf>
    <xf numFmtId="0" fontId="0" fillId="9" borderId="0" xfId="0" applyFill="1" applyAlignment="1">
      <alignment horizontal="justify" vertical="distributed" wrapText="1"/>
    </xf>
    <xf numFmtId="0" fontId="76" fillId="9" borderId="0" xfId="0" applyFont="1" applyFill="1" applyAlignment="1">
      <alignment horizontal="left" vertical="distributed" wrapText="1"/>
    </xf>
    <xf numFmtId="0" fontId="105" fillId="43" borderId="46" xfId="0" applyFont="1" applyFill="1" applyBorder="1" applyAlignment="1">
      <alignment horizontal="left" vertical="center" wrapText="1"/>
    </xf>
    <xf numFmtId="0" fontId="105" fillId="43" borderId="43" xfId="0" applyFont="1" applyFill="1" applyBorder="1" applyAlignment="1">
      <alignment horizontal="left" vertical="center" wrapText="1"/>
    </xf>
    <xf numFmtId="0" fontId="105" fillId="43" borderId="44" xfId="0" applyFont="1" applyFill="1" applyBorder="1" applyAlignment="1">
      <alignment horizontal="left" vertical="center" wrapText="1"/>
    </xf>
    <xf numFmtId="0" fontId="105" fillId="43" borderId="47" xfId="0" applyFont="1" applyFill="1" applyBorder="1" applyAlignment="1">
      <alignment horizontal="left" vertical="center" wrapText="1"/>
    </xf>
    <xf numFmtId="0" fontId="105" fillId="43" borderId="0" xfId="0" applyFont="1" applyFill="1" applyAlignment="1">
      <alignment horizontal="left" vertical="center" wrapText="1"/>
    </xf>
    <xf numFmtId="0" fontId="105" fillId="43" borderId="45" xfId="0" applyFont="1" applyFill="1" applyBorder="1" applyAlignment="1">
      <alignment horizontal="left" vertical="center" wrapText="1"/>
    </xf>
    <xf numFmtId="0" fontId="105" fillId="43" borderId="95" xfId="0" applyFont="1" applyFill="1" applyBorder="1" applyAlignment="1">
      <alignment horizontal="left" vertical="center" wrapText="1"/>
    </xf>
    <xf numFmtId="0" fontId="105" fillId="43" borderId="106" xfId="0" applyFont="1" applyFill="1" applyBorder="1" applyAlignment="1">
      <alignment horizontal="left" vertical="center" wrapText="1"/>
    </xf>
    <xf numFmtId="0" fontId="105" fillId="43" borderId="96" xfId="0" applyFont="1" applyFill="1" applyBorder="1" applyAlignment="1">
      <alignment horizontal="left" vertical="center" wrapText="1"/>
    </xf>
    <xf numFmtId="0" fontId="0" fillId="49" borderId="74" xfId="0" applyFill="1" applyBorder="1" applyAlignment="1">
      <alignment horizontal="center"/>
    </xf>
    <xf numFmtId="0" fontId="0" fillId="49" borderId="85" xfId="0" applyFill="1" applyBorder="1" applyAlignment="1">
      <alignment horizontal="center"/>
    </xf>
    <xf numFmtId="0" fontId="0" fillId="49" borderId="75" xfId="0" applyFill="1" applyBorder="1" applyAlignment="1">
      <alignment horizontal="center"/>
    </xf>
    <xf numFmtId="0" fontId="0" fillId="49" borderId="72" xfId="0" applyFill="1" applyBorder="1" applyAlignment="1">
      <alignment horizontal="center"/>
    </xf>
    <xf numFmtId="0" fontId="148" fillId="43" borderId="92" xfId="0" applyFont="1" applyFill="1" applyBorder="1" applyAlignment="1" applyProtection="1">
      <alignment horizontal="center" vertical="center"/>
      <protection locked="0"/>
    </xf>
    <xf numFmtId="0" fontId="148" fillId="43" borderId="93" xfId="0" applyFont="1" applyFill="1" applyBorder="1" applyAlignment="1" applyProtection="1">
      <alignment horizontal="center" vertical="center"/>
      <protection locked="0"/>
    </xf>
    <xf numFmtId="0" fontId="148" fillId="43" borderId="94" xfId="0" applyFont="1" applyFill="1" applyBorder="1" applyAlignment="1" applyProtection="1">
      <alignment horizontal="center" vertical="center"/>
      <protection locked="0"/>
    </xf>
    <xf numFmtId="0" fontId="131" fillId="39" borderId="0" xfId="0" applyFont="1" applyFill="1" applyAlignment="1">
      <alignment horizontal="center" vertical="center" wrapText="1"/>
    </xf>
    <xf numFmtId="0" fontId="79" fillId="40" borderId="100" xfId="0" applyFont="1" applyFill="1" applyBorder="1" applyAlignment="1">
      <alignment horizontal="center" vertical="center"/>
    </xf>
    <xf numFmtId="0" fontId="79" fillId="40" borderId="102" xfId="0" applyFont="1" applyFill="1" applyBorder="1" applyAlignment="1">
      <alignment horizontal="center" vertical="center"/>
    </xf>
    <xf numFmtId="0" fontId="150" fillId="38" borderId="32" xfId="0" applyFont="1" applyFill="1" applyBorder="1" applyAlignment="1">
      <alignment horizontal="left" vertical="center" wrapText="1"/>
    </xf>
    <xf numFmtId="0" fontId="80" fillId="40" borderId="97" xfId="0" applyFont="1" applyFill="1" applyBorder="1" applyAlignment="1">
      <alignment horizontal="center" vertical="center" wrapText="1"/>
    </xf>
    <xf numFmtId="0" fontId="80" fillId="40" borderId="98" xfId="0" applyFont="1" applyFill="1" applyBorder="1" applyAlignment="1">
      <alignment horizontal="center" vertical="center" wrapText="1"/>
    </xf>
    <xf numFmtId="0" fontId="78" fillId="39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4" fillId="4" borderId="0" xfId="0" applyFont="1" applyFill="1" applyAlignment="1">
      <alignment horizontal="center" vertical="center"/>
    </xf>
    <xf numFmtId="0" fontId="19" fillId="24" borderId="0" xfId="0" applyFont="1" applyFill="1" applyAlignment="1">
      <alignment horizontal="center"/>
    </xf>
    <xf numFmtId="0" fontId="57" fillId="2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59" fillId="24" borderId="0" xfId="0" applyFont="1" applyFill="1" applyAlignment="1">
      <alignment horizontal="center" wrapText="1"/>
    </xf>
    <xf numFmtId="168" fontId="69" fillId="18" borderId="0" xfId="1" applyNumberFormat="1" applyFont="1" applyFill="1" applyBorder="1" applyAlignment="1" applyProtection="1">
      <alignment horizontal="center" vertical="center"/>
      <protection locked="0"/>
    </xf>
    <xf numFmtId="0" fontId="69" fillId="18" borderId="0" xfId="0" applyFont="1" applyFill="1" applyAlignment="1" applyProtection="1">
      <alignment horizontal="left" vertical="center"/>
      <protection locked="0"/>
    </xf>
    <xf numFmtId="0" fontId="60" fillId="24" borderId="0" xfId="0" applyFont="1" applyFill="1" applyAlignment="1">
      <alignment horizontal="center"/>
    </xf>
    <xf numFmtId="0" fontId="38" fillId="18" borderId="0" xfId="0" applyFont="1" applyFill="1" applyAlignment="1" applyProtection="1">
      <alignment horizontal="left" vertical="center"/>
      <protection locked="0"/>
    </xf>
    <xf numFmtId="0" fontId="75" fillId="12" borderId="0" xfId="0" applyFont="1" applyFill="1" applyAlignment="1">
      <alignment horizontal="center" vertical="center" wrapText="1"/>
    </xf>
    <xf numFmtId="0" fontId="39" fillId="4" borderId="0" xfId="0" applyFont="1" applyFill="1" applyAlignment="1">
      <alignment horizontal="left" vertical="center"/>
    </xf>
    <xf numFmtId="167" fontId="39" fillId="18" borderId="0" xfId="0" applyNumberFormat="1" applyFont="1" applyFill="1" applyAlignment="1" applyProtection="1">
      <alignment horizontal="center" vertical="center"/>
      <protection locked="0"/>
    </xf>
    <xf numFmtId="0" fontId="84" fillId="4" borderId="0" xfId="0" applyFont="1" applyFill="1" applyAlignment="1">
      <alignment horizontal="left" vertical="center" wrapText="1"/>
    </xf>
    <xf numFmtId="168" fontId="39" fillId="18" borderId="0" xfId="1" applyNumberFormat="1" applyFont="1" applyFill="1" applyBorder="1" applyAlignment="1" applyProtection="1">
      <alignment horizontal="center" vertical="center"/>
      <protection locked="0"/>
    </xf>
    <xf numFmtId="0" fontId="47" fillId="4" borderId="0" xfId="0" applyFont="1" applyFill="1" applyAlignment="1">
      <alignment horizontal="center" vertical="center"/>
    </xf>
    <xf numFmtId="0" fontId="38" fillId="18" borderId="0" xfId="0" applyFont="1" applyFill="1" applyAlignment="1" applyProtection="1">
      <alignment horizontal="center" vertical="center"/>
      <protection locked="0"/>
    </xf>
    <xf numFmtId="0" fontId="1" fillId="24" borderId="33" xfId="0" applyFont="1" applyFill="1" applyBorder="1" applyAlignment="1" applyProtection="1">
      <alignment horizontal="center"/>
      <protection locked="0"/>
    </xf>
    <xf numFmtId="0" fontId="1" fillId="24" borderId="34" xfId="0" applyFont="1" applyFill="1" applyBorder="1" applyAlignment="1" applyProtection="1">
      <alignment horizontal="center"/>
      <protection locked="0"/>
    </xf>
    <xf numFmtId="0" fontId="1" fillId="24" borderId="35" xfId="0" applyFont="1" applyFill="1" applyBorder="1" applyAlignment="1" applyProtection="1">
      <alignment horizontal="center"/>
      <protection locked="0"/>
    </xf>
    <xf numFmtId="0" fontId="10" fillId="24" borderId="18" xfId="0" applyFont="1" applyFill="1" applyBorder="1" applyAlignment="1">
      <alignment horizontal="center"/>
    </xf>
    <xf numFmtId="0" fontId="44" fillId="4" borderId="0" xfId="0" applyFont="1" applyFill="1" applyAlignment="1">
      <alignment horizontal="center" vertical="center"/>
    </xf>
    <xf numFmtId="171" fontId="104" fillId="24" borderId="0" xfId="4" applyNumberFormat="1" applyFont="1" applyFill="1" applyAlignment="1" applyProtection="1">
      <alignment horizontal="center"/>
    </xf>
    <xf numFmtId="168" fontId="38" fillId="18" borderId="0" xfId="1" applyNumberFormat="1" applyFont="1" applyFill="1" applyBorder="1" applyAlignment="1" applyProtection="1">
      <alignment horizontal="center" vertical="center"/>
      <protection locked="0"/>
    </xf>
    <xf numFmtId="0" fontId="22" fillId="9" borderId="29" xfId="0" applyFont="1" applyFill="1" applyBorder="1" applyAlignment="1" applyProtection="1">
      <alignment horizontal="left"/>
      <protection locked="0"/>
    </xf>
    <xf numFmtId="0" fontId="22" fillId="9" borderId="25" xfId="0" applyFont="1" applyFill="1" applyBorder="1" applyAlignment="1" applyProtection="1">
      <alignment horizontal="left"/>
      <protection locked="0"/>
    </xf>
    <xf numFmtId="0" fontId="36" fillId="4" borderId="69" xfId="0" applyFont="1" applyFill="1" applyBorder="1" applyAlignment="1">
      <alignment horizontal="center"/>
    </xf>
    <xf numFmtId="0" fontId="36" fillId="4" borderId="70" xfId="0" applyFont="1" applyFill="1" applyBorder="1" applyAlignment="1">
      <alignment horizontal="center"/>
    </xf>
    <xf numFmtId="0" fontId="36" fillId="4" borderId="71" xfId="0" applyFont="1" applyFill="1" applyBorder="1" applyAlignment="1">
      <alignment horizontal="center"/>
    </xf>
    <xf numFmtId="0" fontId="22" fillId="50" borderId="69" xfId="0" applyFont="1" applyFill="1" applyBorder="1" applyAlignment="1">
      <alignment horizontal="center" vertical="center"/>
    </xf>
    <xf numFmtId="0" fontId="22" fillId="50" borderId="70" xfId="0" applyFont="1" applyFill="1" applyBorder="1" applyAlignment="1">
      <alignment horizontal="center" vertical="center"/>
    </xf>
    <xf numFmtId="0" fontId="22" fillId="50" borderId="71" xfId="0" applyFont="1" applyFill="1" applyBorder="1" applyAlignment="1">
      <alignment horizontal="center" vertical="center"/>
    </xf>
    <xf numFmtId="0" fontId="22" fillId="32" borderId="69" xfId="0" applyFont="1" applyFill="1" applyBorder="1" applyAlignment="1">
      <alignment horizontal="center"/>
    </xf>
    <xf numFmtId="0" fontId="22" fillId="32" borderId="70" xfId="0" applyFont="1" applyFill="1" applyBorder="1" applyAlignment="1">
      <alignment horizontal="center"/>
    </xf>
    <xf numFmtId="0" fontId="22" fillId="32" borderId="71" xfId="0" applyFont="1" applyFill="1" applyBorder="1" applyAlignment="1">
      <alignment horizontal="center"/>
    </xf>
    <xf numFmtId="0" fontId="20" fillId="4" borderId="74" xfId="0" applyFont="1" applyFill="1" applyBorder="1" applyAlignment="1">
      <alignment horizontal="center" vertical="center" wrapText="1"/>
    </xf>
    <xf numFmtId="0" fontId="20" fillId="4" borderId="72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/>
    </xf>
    <xf numFmtId="0" fontId="20" fillId="4" borderId="70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/>
    </xf>
    <xf numFmtId="0" fontId="22" fillId="9" borderId="1" xfId="0" applyFont="1" applyFill="1" applyBorder="1" applyAlignment="1" applyProtection="1">
      <alignment horizontal="left"/>
      <protection locked="0"/>
    </xf>
    <xf numFmtId="0" fontId="22" fillId="9" borderId="0" xfId="0" applyFont="1" applyFill="1" applyAlignment="1" applyProtection="1">
      <alignment horizontal="left"/>
      <protection locked="0"/>
    </xf>
    <xf numFmtId="9" fontId="22" fillId="9" borderId="1" xfId="0" applyNumberFormat="1" applyFont="1" applyFill="1" applyBorder="1" applyAlignment="1" applyProtection="1">
      <alignment horizontal="left"/>
      <protection locked="0"/>
    </xf>
    <xf numFmtId="0" fontId="22" fillId="9" borderId="17" xfId="0" applyFont="1" applyFill="1" applyBorder="1" applyAlignment="1">
      <alignment horizontal="left"/>
    </xf>
    <xf numFmtId="0" fontId="22" fillId="9" borderId="18" xfId="0" applyFont="1" applyFill="1" applyBorder="1" applyAlignment="1">
      <alignment horizontal="left"/>
    </xf>
    <xf numFmtId="0" fontId="22" fillId="9" borderId="31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2" fillId="4" borderId="33" xfId="0" applyFont="1" applyFill="1" applyBorder="1" applyAlignment="1">
      <alignment horizontal="center"/>
    </xf>
    <xf numFmtId="0" fontId="22" fillId="4" borderId="34" xfId="0" applyFont="1" applyFill="1" applyBorder="1" applyAlignment="1">
      <alignment horizontal="center"/>
    </xf>
    <xf numFmtId="0" fontId="22" fillId="4" borderId="35" xfId="0" applyFont="1" applyFill="1" applyBorder="1" applyAlignment="1">
      <alignment horizontal="center"/>
    </xf>
    <xf numFmtId="0" fontId="22" fillId="2" borderId="0" xfId="0" applyFont="1" applyFill="1" applyAlignment="1">
      <alignment horizontal="left"/>
    </xf>
    <xf numFmtId="0" fontId="22" fillId="6" borderId="8" xfId="0" applyFont="1" applyFill="1" applyBorder="1" applyAlignment="1">
      <alignment horizontal="center"/>
    </xf>
    <xf numFmtId="0" fontId="22" fillId="6" borderId="22" xfId="0" applyFont="1" applyFill="1" applyBorder="1" applyAlignment="1">
      <alignment horizontal="center"/>
    </xf>
    <xf numFmtId="0" fontId="22" fillId="6" borderId="24" xfId="0" applyFont="1" applyFill="1" applyBorder="1" applyAlignment="1">
      <alignment horizontal="center"/>
    </xf>
    <xf numFmtId="0" fontId="22" fillId="4" borderId="8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/>
    </xf>
    <xf numFmtId="0" fontId="22" fillId="7" borderId="0" xfId="0" applyFont="1" applyFill="1" applyAlignment="1">
      <alignment horizontal="left"/>
    </xf>
    <xf numFmtId="0" fontId="22" fillId="9" borderId="2" xfId="0" applyFont="1" applyFill="1" applyBorder="1" applyAlignment="1" applyProtection="1">
      <alignment horizontal="left"/>
      <protection locked="0"/>
    </xf>
    <xf numFmtId="0" fontId="22" fillId="9" borderId="1" xfId="0" applyFont="1" applyFill="1" applyBorder="1" applyAlignment="1">
      <alignment horizontal="left"/>
    </xf>
    <xf numFmtId="0" fontId="22" fillId="9" borderId="0" xfId="0" applyFont="1" applyFill="1" applyAlignment="1">
      <alignment horizontal="left"/>
    </xf>
    <xf numFmtId="0" fontId="22" fillId="9" borderId="2" xfId="0" applyFont="1" applyFill="1" applyBorder="1" applyAlignment="1">
      <alignment horizontal="left"/>
    </xf>
    <xf numFmtId="0" fontId="24" fillId="4" borderId="33" xfId="0" applyFont="1" applyFill="1" applyBorder="1" applyAlignment="1">
      <alignment horizontal="center"/>
    </xf>
    <xf numFmtId="0" fontId="24" fillId="4" borderId="34" xfId="0" applyFont="1" applyFill="1" applyBorder="1" applyAlignment="1">
      <alignment horizontal="center"/>
    </xf>
    <xf numFmtId="0" fontId="24" fillId="4" borderId="35" xfId="0" applyFont="1" applyFill="1" applyBorder="1" applyAlignment="1">
      <alignment horizontal="center"/>
    </xf>
    <xf numFmtId="0" fontId="24" fillId="4" borderId="33" xfId="0" applyFont="1" applyFill="1" applyBorder="1" applyAlignment="1">
      <alignment horizontal="center" vertical="center"/>
    </xf>
    <xf numFmtId="0" fontId="24" fillId="4" borderId="34" xfId="0" applyFont="1" applyFill="1" applyBorder="1" applyAlignment="1">
      <alignment horizontal="center" vertical="center"/>
    </xf>
    <xf numFmtId="0" fontId="24" fillId="4" borderId="35" xfId="0" applyFont="1" applyFill="1" applyBorder="1" applyAlignment="1">
      <alignment horizontal="center" vertical="center"/>
    </xf>
    <xf numFmtId="0" fontId="22" fillId="9" borderId="29" xfId="0" applyFont="1" applyFill="1" applyBorder="1" applyAlignment="1">
      <alignment horizontal="left"/>
    </xf>
    <xf numFmtId="0" fontId="22" fillId="9" borderId="25" xfId="0" applyFont="1" applyFill="1" applyBorder="1" applyAlignment="1">
      <alignment horizontal="left"/>
    </xf>
    <xf numFmtId="0" fontId="22" fillId="9" borderId="30" xfId="0" applyFont="1" applyFill="1" applyBorder="1" applyAlignment="1">
      <alignment horizontal="left"/>
    </xf>
    <xf numFmtId="165" fontId="22" fillId="4" borderId="33" xfId="0" applyNumberFormat="1" applyFont="1" applyFill="1" applyBorder="1" applyAlignment="1">
      <alignment horizontal="center"/>
    </xf>
    <xf numFmtId="165" fontId="22" fillId="4" borderId="34" xfId="0" applyNumberFormat="1" applyFont="1" applyFill="1" applyBorder="1" applyAlignment="1">
      <alignment horizontal="center"/>
    </xf>
    <xf numFmtId="165" fontId="22" fillId="4" borderId="35" xfId="0" applyNumberFormat="1" applyFont="1" applyFill="1" applyBorder="1" applyAlignment="1">
      <alignment horizontal="center"/>
    </xf>
    <xf numFmtId="0" fontId="22" fillId="4" borderId="33" xfId="0" applyFont="1" applyFill="1" applyBorder="1" applyAlignment="1">
      <alignment horizontal="left"/>
    </xf>
    <xf numFmtId="0" fontId="22" fillId="4" borderId="34" xfId="0" applyFont="1" applyFill="1" applyBorder="1" applyAlignment="1">
      <alignment horizontal="left"/>
    </xf>
    <xf numFmtId="0" fontId="22" fillId="4" borderId="35" xfId="0" applyFont="1" applyFill="1" applyBorder="1" applyAlignment="1">
      <alignment horizontal="left"/>
    </xf>
    <xf numFmtId="165" fontId="22" fillId="4" borderId="33" xfId="0" applyNumberFormat="1" applyFont="1" applyFill="1" applyBorder="1" applyAlignment="1">
      <alignment horizontal="left"/>
    </xf>
    <xf numFmtId="165" fontId="22" fillId="4" borderId="34" xfId="0" applyNumberFormat="1" applyFont="1" applyFill="1" applyBorder="1" applyAlignment="1">
      <alignment horizontal="left"/>
    </xf>
    <xf numFmtId="165" fontId="22" fillId="4" borderId="35" xfId="0" applyNumberFormat="1" applyFont="1" applyFill="1" applyBorder="1" applyAlignment="1">
      <alignment horizontal="left"/>
    </xf>
    <xf numFmtId="0" fontId="22" fillId="9" borderId="30" xfId="0" applyFont="1" applyFill="1" applyBorder="1" applyAlignment="1" applyProtection="1">
      <alignment horizontal="left"/>
      <protection locked="0"/>
    </xf>
    <xf numFmtId="0" fontId="22" fillId="6" borderId="33" xfId="0" applyFont="1" applyFill="1" applyBorder="1" applyAlignment="1">
      <alignment horizontal="center"/>
    </xf>
    <xf numFmtId="0" fontId="22" fillId="6" borderId="34" xfId="0" applyFont="1" applyFill="1" applyBorder="1" applyAlignment="1">
      <alignment horizontal="center"/>
    </xf>
    <xf numFmtId="0" fontId="22" fillId="6" borderId="35" xfId="0" applyFont="1" applyFill="1" applyBorder="1" applyAlignment="1">
      <alignment horizontal="center"/>
    </xf>
    <xf numFmtId="165" fontId="22" fillId="7" borderId="0" xfId="0" applyNumberFormat="1" applyFont="1" applyFill="1" applyAlignment="1">
      <alignment horizontal="left"/>
    </xf>
    <xf numFmtId="0" fontId="22" fillId="9" borderId="17" xfId="0" applyFont="1" applyFill="1" applyBorder="1" applyAlignment="1" applyProtection="1">
      <alignment horizontal="left"/>
      <protection locked="0"/>
    </xf>
    <xf numFmtId="0" fontId="22" fillId="9" borderId="18" xfId="0" applyFont="1" applyFill="1" applyBorder="1" applyAlignment="1" applyProtection="1">
      <alignment horizontal="left"/>
      <protection locked="0"/>
    </xf>
    <xf numFmtId="0" fontId="22" fillId="9" borderId="31" xfId="0" applyFont="1" applyFill="1" applyBorder="1" applyAlignment="1" applyProtection="1">
      <alignment horizontal="left"/>
      <protection locked="0"/>
    </xf>
    <xf numFmtId="3" fontId="124" fillId="2" borderId="0" xfId="0" applyNumberFormat="1" applyFont="1" applyFill="1" applyAlignment="1">
      <alignment horizontal="center" vertical="center" wrapText="1"/>
    </xf>
    <xf numFmtId="0" fontId="63" fillId="9" borderId="1" xfId="0" applyFont="1" applyFill="1" applyBorder="1" applyAlignment="1" applyProtection="1">
      <alignment horizontal="left"/>
      <protection locked="0"/>
    </xf>
    <xf numFmtId="0" fontId="63" fillId="9" borderId="0" xfId="0" applyFont="1" applyFill="1" applyAlignment="1" applyProtection="1">
      <alignment horizontal="left"/>
      <protection locked="0"/>
    </xf>
    <xf numFmtId="0" fontId="63" fillId="9" borderId="2" xfId="0" applyFont="1" applyFill="1" applyBorder="1" applyAlignment="1" applyProtection="1">
      <alignment horizontal="left"/>
      <protection locked="0"/>
    </xf>
    <xf numFmtId="165" fontId="22" fillId="9" borderId="1" xfId="0" applyNumberFormat="1" applyFont="1" applyFill="1" applyBorder="1" applyAlignment="1" applyProtection="1">
      <alignment horizontal="left"/>
      <protection locked="0"/>
    </xf>
    <xf numFmtId="165" fontId="22" fillId="9" borderId="0" xfId="0" applyNumberFormat="1" applyFont="1" applyFill="1" applyAlignment="1" applyProtection="1">
      <alignment horizontal="left"/>
      <protection locked="0"/>
    </xf>
    <xf numFmtId="165" fontId="22" fillId="9" borderId="2" xfId="0" applyNumberFormat="1" applyFont="1" applyFill="1" applyBorder="1" applyAlignment="1" applyProtection="1">
      <alignment horizontal="left"/>
      <protection locked="0"/>
    </xf>
    <xf numFmtId="0" fontId="22" fillId="6" borderId="33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  <xf numFmtId="0" fontId="22" fillId="6" borderId="35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left" vertical="center"/>
    </xf>
    <xf numFmtId="0" fontId="22" fillId="4" borderId="34" xfId="0" applyFont="1" applyFill="1" applyBorder="1" applyAlignment="1">
      <alignment horizontal="left" vertical="center"/>
    </xf>
    <xf numFmtId="0" fontId="22" fillId="4" borderId="35" xfId="0" applyFont="1" applyFill="1" applyBorder="1" applyAlignment="1">
      <alignment horizontal="left" vertical="center"/>
    </xf>
    <xf numFmtId="165" fontId="22" fillId="9" borderId="29" xfId="0" applyNumberFormat="1" applyFont="1" applyFill="1" applyBorder="1" applyAlignment="1">
      <alignment horizontal="left"/>
    </xf>
    <xf numFmtId="165" fontId="22" fillId="9" borderId="25" xfId="0" applyNumberFormat="1" applyFont="1" applyFill="1" applyBorder="1" applyAlignment="1">
      <alignment horizontal="left"/>
    </xf>
    <xf numFmtId="165" fontId="22" fillId="9" borderId="30" xfId="0" applyNumberFormat="1" applyFont="1" applyFill="1" applyBorder="1" applyAlignment="1">
      <alignment horizontal="left"/>
    </xf>
    <xf numFmtId="165" fontId="22" fillId="9" borderId="17" xfId="0" applyNumberFormat="1" applyFont="1" applyFill="1" applyBorder="1" applyAlignment="1" applyProtection="1">
      <alignment horizontal="left"/>
      <protection locked="0"/>
    </xf>
    <xf numFmtId="165" fontId="22" fillId="9" borderId="18" xfId="0" applyNumberFormat="1" applyFont="1" applyFill="1" applyBorder="1" applyAlignment="1" applyProtection="1">
      <alignment horizontal="left"/>
      <protection locked="0"/>
    </xf>
    <xf numFmtId="165" fontId="22" fillId="9" borderId="31" xfId="0" applyNumberFormat="1" applyFont="1" applyFill="1" applyBorder="1" applyAlignment="1" applyProtection="1">
      <alignment horizontal="left"/>
      <protection locked="0"/>
    </xf>
    <xf numFmtId="0" fontId="22" fillId="4" borderId="0" xfId="0" applyFont="1" applyFill="1" applyAlignment="1">
      <alignment horizontal="center" vertical="center"/>
    </xf>
    <xf numFmtId="165" fontId="22" fillId="4" borderId="0" xfId="0" applyNumberFormat="1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 wrapText="1"/>
    </xf>
    <xf numFmtId="168" fontId="22" fillId="4" borderId="0" xfId="1" applyNumberFormat="1" applyFont="1" applyFill="1" applyBorder="1" applyAlignment="1">
      <alignment horizontal="center"/>
    </xf>
    <xf numFmtId="0" fontId="23" fillId="9" borderId="0" xfId="0" applyFont="1" applyFill="1" applyAlignment="1">
      <alignment horizontal="left"/>
    </xf>
    <xf numFmtId="165" fontId="23" fillId="32" borderId="0" xfId="0" applyNumberFormat="1" applyFont="1" applyFill="1" applyAlignment="1" applyProtection="1">
      <alignment horizontal="left"/>
      <protection locked="0"/>
    </xf>
    <xf numFmtId="0" fontId="48" fillId="4" borderId="0" xfId="0" applyFont="1" applyFill="1" applyAlignment="1">
      <alignment horizontal="center" vertical="center"/>
    </xf>
    <xf numFmtId="0" fontId="116" fillId="18" borderId="33" xfId="0" applyFont="1" applyFill="1" applyBorder="1" applyAlignment="1">
      <alignment horizontal="center" vertical="center"/>
    </xf>
    <xf numFmtId="0" fontId="116" fillId="18" borderId="34" xfId="0" applyFont="1" applyFill="1" applyBorder="1" applyAlignment="1">
      <alignment horizontal="center" vertical="center"/>
    </xf>
    <xf numFmtId="0" fontId="116" fillId="18" borderId="35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left" wrapText="1"/>
    </xf>
    <xf numFmtId="0" fontId="20" fillId="4" borderId="34" xfId="0" applyFont="1" applyFill="1" applyBorder="1" applyAlignment="1">
      <alignment horizontal="left" wrapText="1"/>
    </xf>
    <xf numFmtId="0" fontId="20" fillId="4" borderId="35" xfId="0" applyFont="1" applyFill="1" applyBorder="1" applyAlignment="1">
      <alignment horizontal="left" wrapText="1"/>
    </xf>
    <xf numFmtId="0" fontId="22" fillId="18" borderId="33" xfId="0" applyFont="1" applyFill="1" applyBorder="1" applyAlignment="1">
      <alignment horizontal="left"/>
    </xf>
    <xf numFmtId="0" fontId="22" fillId="18" borderId="34" xfId="0" applyFont="1" applyFill="1" applyBorder="1" applyAlignment="1">
      <alignment horizontal="left"/>
    </xf>
    <xf numFmtId="0" fontId="22" fillId="18" borderId="35" xfId="0" applyFont="1" applyFill="1" applyBorder="1" applyAlignment="1">
      <alignment horizontal="left"/>
    </xf>
    <xf numFmtId="38" fontId="116" fillId="18" borderId="33" xfId="0" applyNumberFormat="1" applyFont="1" applyFill="1" applyBorder="1" applyAlignment="1">
      <alignment horizontal="center" vertical="center"/>
    </xf>
    <xf numFmtId="38" fontId="116" fillId="18" borderId="34" xfId="0" applyNumberFormat="1" applyFont="1" applyFill="1" applyBorder="1" applyAlignment="1">
      <alignment horizontal="center" vertical="center"/>
    </xf>
    <xf numFmtId="38" fontId="116" fillId="18" borderId="35" xfId="0" applyNumberFormat="1" applyFont="1" applyFill="1" applyBorder="1" applyAlignment="1">
      <alignment horizontal="center" vertical="center"/>
    </xf>
    <xf numFmtId="0" fontId="23" fillId="9" borderId="0" xfId="0" applyFont="1" applyFill="1" applyAlignment="1">
      <alignment horizontal="left" wrapText="1"/>
    </xf>
    <xf numFmtId="0" fontId="22" fillId="18" borderId="33" xfId="0" applyFont="1" applyFill="1" applyBorder="1" applyAlignment="1">
      <alignment horizontal="center" vertical="center" wrapText="1"/>
    </xf>
    <xf numFmtId="0" fontId="22" fillId="18" borderId="34" xfId="0" applyFont="1" applyFill="1" applyBorder="1" applyAlignment="1">
      <alignment horizontal="center" vertical="center" wrapText="1"/>
    </xf>
    <xf numFmtId="0" fontId="22" fillId="18" borderId="35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left"/>
    </xf>
    <xf numFmtId="0" fontId="34" fillId="9" borderId="0" xfId="0" applyFont="1" applyFill="1" applyAlignment="1">
      <alignment horizontal="left"/>
    </xf>
    <xf numFmtId="0" fontId="66" fillId="41" borderId="0" xfId="0" applyFont="1" applyFill="1" applyAlignment="1">
      <alignment horizontal="left"/>
    </xf>
    <xf numFmtId="0" fontId="22" fillId="18" borderId="33" xfId="0" applyFont="1" applyFill="1" applyBorder="1" applyAlignment="1">
      <alignment horizontal="left" wrapText="1"/>
    </xf>
    <xf numFmtId="0" fontId="22" fillId="18" borderId="34" xfId="0" applyFont="1" applyFill="1" applyBorder="1" applyAlignment="1">
      <alignment horizontal="left" wrapText="1"/>
    </xf>
    <xf numFmtId="0" fontId="22" fillId="18" borderId="35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/>
    </xf>
    <xf numFmtId="165" fontId="21" fillId="32" borderId="0" xfId="0" applyNumberFormat="1" applyFont="1" applyFill="1" applyAlignment="1" applyProtection="1">
      <alignment horizontal="left"/>
      <protection locked="0"/>
    </xf>
    <xf numFmtId="0" fontId="22" fillId="18" borderId="33" xfId="0" applyFont="1" applyFill="1" applyBorder="1" applyAlignment="1">
      <alignment horizontal="left" vertical="center" wrapText="1"/>
    </xf>
    <xf numFmtId="0" fontId="22" fillId="18" borderId="34" xfId="0" applyFont="1" applyFill="1" applyBorder="1" applyAlignment="1">
      <alignment horizontal="left" vertical="center" wrapText="1"/>
    </xf>
    <xf numFmtId="0" fontId="22" fillId="18" borderId="35" xfId="0" applyFont="1" applyFill="1" applyBorder="1" applyAlignment="1">
      <alignment horizontal="left" vertical="center" wrapText="1"/>
    </xf>
    <xf numFmtId="0" fontId="88" fillId="44" borderId="0" xfId="0" applyFont="1" applyFill="1" applyAlignment="1">
      <alignment horizontal="center" vertical="center" wrapText="1"/>
    </xf>
    <xf numFmtId="0" fontId="22" fillId="34" borderId="33" xfId="0" applyFont="1" applyFill="1" applyBorder="1" applyAlignment="1">
      <alignment horizontal="left" vertical="center" wrapText="1"/>
    </xf>
    <xf numFmtId="0" fontId="22" fillId="34" borderId="34" xfId="0" applyFont="1" applyFill="1" applyBorder="1" applyAlignment="1">
      <alignment horizontal="left" vertical="center" wrapText="1"/>
    </xf>
    <xf numFmtId="0" fontId="22" fillId="34" borderId="35" xfId="0" applyFont="1" applyFill="1" applyBorder="1" applyAlignment="1">
      <alignment horizontal="left" vertical="center" wrapText="1"/>
    </xf>
    <xf numFmtId="0" fontId="22" fillId="18" borderId="33" xfId="0" applyFont="1" applyFill="1" applyBorder="1" applyAlignment="1">
      <alignment horizontal="center"/>
    </xf>
    <xf numFmtId="0" fontId="22" fillId="18" borderId="34" xfId="0" applyFont="1" applyFill="1" applyBorder="1" applyAlignment="1">
      <alignment horizontal="center"/>
    </xf>
    <xf numFmtId="0" fontId="22" fillId="18" borderId="35" xfId="0" applyFont="1" applyFill="1" applyBorder="1" applyAlignment="1">
      <alignment horizontal="center"/>
    </xf>
    <xf numFmtId="0" fontId="20" fillId="9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40" fillId="26" borderId="25" xfId="0" applyFont="1" applyFill="1" applyBorder="1" applyAlignment="1">
      <alignment horizontal="center" vertical="center" wrapText="1"/>
    </xf>
    <xf numFmtId="0" fontId="140" fillId="26" borderId="30" xfId="0" applyFont="1" applyFill="1" applyBorder="1" applyAlignment="1">
      <alignment horizontal="center" vertical="center" wrapText="1"/>
    </xf>
    <xf numFmtId="0" fontId="140" fillId="26" borderId="0" xfId="0" applyFont="1" applyFill="1" applyAlignment="1">
      <alignment horizontal="center" vertical="center" wrapText="1"/>
    </xf>
    <xf numFmtId="0" fontId="140" fillId="26" borderId="2" xfId="0" applyFont="1" applyFill="1" applyBorder="1" applyAlignment="1">
      <alignment horizontal="center" vertical="center" wrapText="1"/>
    </xf>
    <xf numFmtId="0" fontId="140" fillId="26" borderId="18" xfId="0" applyFont="1" applyFill="1" applyBorder="1" applyAlignment="1">
      <alignment horizontal="center" vertical="center" wrapText="1"/>
    </xf>
    <xf numFmtId="0" fontId="140" fillId="26" borderId="31" xfId="0" applyFont="1" applyFill="1" applyBorder="1" applyAlignment="1">
      <alignment horizontal="center" vertical="center" wrapText="1"/>
    </xf>
    <xf numFmtId="0" fontId="68" fillId="35" borderId="33" xfId="0" applyFont="1" applyFill="1" applyBorder="1" applyAlignment="1">
      <alignment horizontal="center" vertical="center" wrapText="1"/>
    </xf>
    <xf numFmtId="0" fontId="68" fillId="35" borderId="34" xfId="0" applyFont="1" applyFill="1" applyBorder="1" applyAlignment="1">
      <alignment horizontal="center" vertical="center" wrapText="1"/>
    </xf>
    <xf numFmtId="0" fontId="68" fillId="35" borderId="3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left"/>
    </xf>
    <xf numFmtId="0" fontId="20" fillId="4" borderId="34" xfId="0" applyFont="1" applyFill="1" applyBorder="1" applyAlignment="1">
      <alignment horizontal="left"/>
    </xf>
    <xf numFmtId="0" fontId="20" fillId="4" borderId="35" xfId="0" applyFont="1" applyFill="1" applyBorder="1" applyAlignment="1">
      <alignment horizontal="left"/>
    </xf>
    <xf numFmtId="0" fontId="22" fillId="4" borderId="33" xfId="0" applyFont="1" applyFill="1" applyBorder="1" applyAlignment="1">
      <alignment horizontal="left" vertical="center" wrapText="1"/>
    </xf>
    <xf numFmtId="0" fontId="22" fillId="4" borderId="34" xfId="0" applyFont="1" applyFill="1" applyBorder="1" applyAlignment="1">
      <alignment horizontal="left" vertical="center" wrapText="1"/>
    </xf>
    <xf numFmtId="0" fontId="22" fillId="4" borderId="35" xfId="0" applyFont="1" applyFill="1" applyBorder="1" applyAlignment="1">
      <alignment horizontal="left" vertical="center" wrapText="1"/>
    </xf>
    <xf numFmtId="165" fontId="93" fillId="5" borderId="0" xfId="0" applyNumberFormat="1" applyFont="1" applyFill="1" applyAlignment="1">
      <alignment horizontal="center" wrapText="1"/>
    </xf>
    <xf numFmtId="0" fontId="20" fillId="4" borderId="33" xfId="0" applyFont="1" applyFill="1" applyBorder="1" applyAlignment="1">
      <alignment horizontal="left" vertical="center"/>
    </xf>
    <xf numFmtId="0" fontId="20" fillId="4" borderId="34" xfId="0" applyFont="1" applyFill="1" applyBorder="1" applyAlignment="1">
      <alignment horizontal="left" vertical="center"/>
    </xf>
    <xf numFmtId="0" fontId="20" fillId="4" borderId="35" xfId="0" applyFont="1" applyFill="1" applyBorder="1" applyAlignment="1">
      <alignment horizontal="left" vertical="center"/>
    </xf>
    <xf numFmtId="0" fontId="20" fillId="4" borderId="33" xfId="0" applyFont="1" applyFill="1" applyBorder="1" applyAlignment="1">
      <alignment horizontal="left" vertical="center" wrapText="1"/>
    </xf>
    <xf numFmtId="0" fontId="20" fillId="4" borderId="34" xfId="0" applyFont="1" applyFill="1" applyBorder="1" applyAlignment="1">
      <alignment horizontal="left" vertical="center" wrapText="1"/>
    </xf>
    <xf numFmtId="0" fontId="20" fillId="4" borderId="35" xfId="0" applyFont="1" applyFill="1" applyBorder="1" applyAlignment="1">
      <alignment horizontal="left" vertical="center" wrapText="1"/>
    </xf>
    <xf numFmtId="0" fontId="23" fillId="9" borderId="1" xfId="0" applyFont="1" applyFill="1" applyBorder="1" applyAlignment="1" applyProtection="1">
      <alignment horizontal="left"/>
      <protection locked="0"/>
    </xf>
    <xf numFmtId="0" fontId="23" fillId="9" borderId="0" xfId="0" applyFont="1" applyFill="1" applyAlignment="1" applyProtection="1">
      <alignment horizontal="left"/>
      <protection locked="0"/>
    </xf>
    <xf numFmtId="0" fontId="23" fillId="9" borderId="2" xfId="0" applyFont="1" applyFill="1" applyBorder="1" applyAlignment="1" applyProtection="1">
      <alignment horizontal="left"/>
      <protection locked="0"/>
    </xf>
    <xf numFmtId="0" fontId="23" fillId="9" borderId="29" xfId="0" applyFont="1" applyFill="1" applyBorder="1" applyAlignment="1" applyProtection="1">
      <alignment horizontal="left"/>
      <protection locked="0"/>
    </xf>
    <xf numFmtId="0" fontId="23" fillId="9" borderId="25" xfId="0" applyFont="1" applyFill="1" applyBorder="1" applyAlignment="1" applyProtection="1">
      <alignment horizontal="left"/>
      <protection locked="0"/>
    </xf>
    <xf numFmtId="0" fontId="23" fillId="9" borderId="30" xfId="0" applyFont="1" applyFill="1" applyBorder="1" applyAlignment="1" applyProtection="1">
      <alignment horizontal="left"/>
      <protection locked="0"/>
    </xf>
    <xf numFmtId="0" fontId="23" fillId="9" borderId="17" xfId="0" applyFont="1" applyFill="1" applyBorder="1" applyAlignment="1" applyProtection="1">
      <alignment horizontal="left"/>
      <protection locked="0"/>
    </xf>
    <xf numFmtId="0" fontId="23" fillId="9" borderId="18" xfId="0" applyFont="1" applyFill="1" applyBorder="1" applyAlignment="1" applyProtection="1">
      <alignment horizontal="left"/>
      <protection locked="0"/>
    </xf>
    <xf numFmtId="0" fontId="23" fillId="9" borderId="31" xfId="0" applyFont="1" applyFill="1" applyBorder="1" applyAlignment="1" applyProtection="1">
      <alignment horizontal="left"/>
      <protection locked="0"/>
    </xf>
    <xf numFmtId="0" fontId="22" fillId="6" borderId="0" xfId="0" applyFont="1" applyFill="1" applyAlignment="1">
      <alignment horizontal="center"/>
    </xf>
    <xf numFmtId="0" fontId="22" fillId="4" borderId="33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horizontal="center" vertical="center"/>
    </xf>
    <xf numFmtId="0" fontId="48" fillId="4" borderId="33" xfId="0" applyFont="1" applyFill="1" applyBorder="1" applyAlignment="1">
      <alignment horizontal="center" vertical="center"/>
    </xf>
    <xf numFmtId="0" fontId="48" fillId="4" borderId="34" xfId="0" applyFont="1" applyFill="1" applyBorder="1" applyAlignment="1">
      <alignment horizontal="center" vertical="center"/>
    </xf>
    <xf numFmtId="0" fontId="48" fillId="4" borderId="35" xfId="0" applyFont="1" applyFill="1" applyBorder="1" applyAlignment="1">
      <alignment horizontal="center" vertical="center"/>
    </xf>
    <xf numFmtId="0" fontId="48" fillId="11" borderId="33" xfId="0" applyFont="1" applyFill="1" applyBorder="1" applyAlignment="1">
      <alignment horizontal="center" vertical="center"/>
    </xf>
    <xf numFmtId="0" fontId="48" fillId="11" borderId="34" xfId="0" applyFont="1" applyFill="1" applyBorder="1" applyAlignment="1">
      <alignment horizontal="center" vertical="center"/>
    </xf>
    <xf numFmtId="0" fontId="48" fillId="11" borderId="35" xfId="0" applyFont="1" applyFill="1" applyBorder="1" applyAlignment="1">
      <alignment horizontal="center" vertical="center"/>
    </xf>
    <xf numFmtId="168" fontId="24" fillId="4" borderId="0" xfId="1" applyNumberFormat="1" applyFont="1" applyFill="1" applyBorder="1" applyAlignment="1">
      <alignment horizontal="center"/>
    </xf>
    <xf numFmtId="0" fontId="94" fillId="4" borderId="33" xfId="0" applyFont="1" applyFill="1" applyBorder="1" applyAlignment="1">
      <alignment horizontal="center" vertical="center"/>
    </xf>
    <xf numFmtId="0" fontId="94" fillId="4" borderId="34" xfId="0" applyFont="1" applyFill="1" applyBorder="1" applyAlignment="1">
      <alignment horizontal="center" vertical="center"/>
    </xf>
    <xf numFmtId="0" fontId="94" fillId="4" borderId="35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/>
    </xf>
    <xf numFmtId="0" fontId="22" fillId="4" borderId="22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84" fillId="2" borderId="0" xfId="0" applyFont="1" applyFill="1" applyAlignment="1">
      <alignment horizontal="left"/>
    </xf>
    <xf numFmtId="3" fontId="128" fillId="2" borderId="32" xfId="0" applyNumberFormat="1" applyFont="1" applyFill="1" applyBorder="1" applyAlignment="1">
      <alignment horizontal="center" vertical="center"/>
    </xf>
    <xf numFmtId="0" fontId="84" fillId="6" borderId="33" xfId="0" applyFont="1" applyFill="1" applyBorder="1" applyAlignment="1">
      <alignment horizontal="center"/>
    </xf>
    <xf numFmtId="0" fontId="84" fillId="6" borderId="34" xfId="0" applyFont="1" applyFill="1" applyBorder="1" applyAlignment="1">
      <alignment horizontal="center"/>
    </xf>
    <xf numFmtId="0" fontId="84" fillId="6" borderId="35" xfId="0" applyFont="1" applyFill="1" applyBorder="1" applyAlignment="1">
      <alignment horizontal="center"/>
    </xf>
    <xf numFmtId="0" fontId="20" fillId="4" borderId="26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84" fillId="4" borderId="33" xfId="0" applyFont="1" applyFill="1" applyBorder="1" applyAlignment="1">
      <alignment horizontal="left" vertical="center"/>
    </xf>
    <xf numFmtId="0" fontId="84" fillId="4" borderId="34" xfId="0" applyFont="1" applyFill="1" applyBorder="1" applyAlignment="1">
      <alignment horizontal="left" vertical="center"/>
    </xf>
    <xf numFmtId="0" fontId="84" fillId="4" borderId="35" xfId="0" applyFont="1" applyFill="1" applyBorder="1" applyAlignment="1">
      <alignment horizontal="left" vertical="center"/>
    </xf>
    <xf numFmtId="0" fontId="84" fillId="7" borderId="0" xfId="0" applyFont="1" applyFill="1" applyAlignment="1">
      <alignment horizontal="left"/>
    </xf>
    <xf numFmtId="3" fontId="84" fillId="7" borderId="0" xfId="0" applyNumberFormat="1" applyFont="1" applyFill="1" applyAlignment="1">
      <alignment horizontal="center" vertical="center" wrapText="1"/>
    </xf>
    <xf numFmtId="0" fontId="84" fillId="4" borderId="33" xfId="0" applyFont="1" applyFill="1" applyBorder="1" applyAlignment="1">
      <alignment horizontal="left"/>
    </xf>
    <xf numFmtId="0" fontId="84" fillId="4" borderId="34" xfId="0" applyFont="1" applyFill="1" applyBorder="1" applyAlignment="1">
      <alignment horizontal="left"/>
    </xf>
    <xf numFmtId="0" fontId="84" fillId="4" borderId="35" xfId="0" applyFont="1" applyFill="1" applyBorder="1" applyAlignment="1">
      <alignment horizontal="left"/>
    </xf>
    <xf numFmtId="0" fontId="84" fillId="9" borderId="1" xfId="0" applyFont="1" applyFill="1" applyBorder="1" applyAlignment="1" applyProtection="1">
      <alignment horizontal="left"/>
      <protection locked="0"/>
    </xf>
    <xf numFmtId="0" fontId="84" fillId="9" borderId="0" xfId="0" applyFont="1" applyFill="1" applyAlignment="1" applyProtection="1">
      <alignment horizontal="left"/>
      <protection locked="0"/>
    </xf>
    <xf numFmtId="0" fontId="84" fillId="9" borderId="2" xfId="0" applyFont="1" applyFill="1" applyBorder="1" applyAlignment="1" applyProtection="1">
      <alignment horizontal="left"/>
      <protection locked="0"/>
    </xf>
    <xf numFmtId="0" fontId="84" fillId="9" borderId="17" xfId="0" applyFont="1" applyFill="1" applyBorder="1" applyAlignment="1" applyProtection="1">
      <alignment horizontal="left"/>
      <protection locked="0"/>
    </xf>
    <xf numFmtId="0" fontId="84" fillId="9" borderId="18" xfId="0" applyFont="1" applyFill="1" applyBorder="1" applyAlignment="1" applyProtection="1">
      <alignment horizontal="left"/>
      <protection locked="0"/>
    </xf>
    <xf numFmtId="0" fontId="84" fillId="9" borderId="31" xfId="0" applyFont="1" applyFill="1" applyBorder="1" applyAlignment="1" applyProtection="1">
      <alignment horizontal="left"/>
      <protection locked="0"/>
    </xf>
    <xf numFmtId="0" fontId="119" fillId="2" borderId="0" xfId="0" applyFont="1" applyFill="1" applyAlignment="1">
      <alignment horizontal="left"/>
    </xf>
    <xf numFmtId="0" fontId="116" fillId="4" borderId="0" xfId="0" applyFont="1" applyFill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/>
    </xf>
    <xf numFmtId="0" fontId="84" fillId="9" borderId="29" xfId="0" applyFont="1" applyFill="1" applyBorder="1" applyAlignment="1">
      <alignment horizontal="left"/>
    </xf>
    <xf numFmtId="0" fontId="84" fillId="9" borderId="25" xfId="0" applyFont="1" applyFill="1" applyBorder="1" applyAlignment="1">
      <alignment horizontal="left"/>
    </xf>
    <xf numFmtId="0" fontId="84" fillId="9" borderId="30" xfId="0" applyFont="1" applyFill="1" applyBorder="1" applyAlignment="1">
      <alignment horizontal="left"/>
    </xf>
    <xf numFmtId="0" fontId="23" fillId="9" borderId="32" xfId="0" applyFont="1" applyFill="1" applyBorder="1" applyAlignment="1">
      <alignment horizontal="left"/>
    </xf>
    <xf numFmtId="0" fontId="20" fillId="18" borderId="33" xfId="0" applyFont="1" applyFill="1" applyBorder="1" applyAlignment="1">
      <alignment horizontal="left" vertical="center"/>
    </xf>
    <xf numFmtId="0" fontId="20" fillId="18" borderId="34" xfId="0" applyFont="1" applyFill="1" applyBorder="1" applyAlignment="1">
      <alignment horizontal="left" vertical="center"/>
    </xf>
    <xf numFmtId="0" fontId="20" fillId="18" borderId="35" xfId="0" applyFont="1" applyFill="1" applyBorder="1" applyAlignment="1">
      <alignment horizontal="left" vertical="center"/>
    </xf>
    <xf numFmtId="0" fontId="33" fillId="18" borderId="33" xfId="0" applyFont="1" applyFill="1" applyBorder="1" applyAlignment="1">
      <alignment horizontal="left" vertical="center"/>
    </xf>
    <xf numFmtId="0" fontId="33" fillId="18" borderId="34" xfId="0" applyFont="1" applyFill="1" applyBorder="1" applyAlignment="1">
      <alignment horizontal="left" vertical="center"/>
    </xf>
    <xf numFmtId="0" fontId="33" fillId="18" borderId="35" xfId="0" applyFont="1" applyFill="1" applyBorder="1" applyAlignment="1">
      <alignment horizontal="left" vertical="center"/>
    </xf>
    <xf numFmtId="0" fontId="117" fillId="29" borderId="83" xfId="0" applyFont="1" applyFill="1" applyBorder="1" applyAlignment="1">
      <alignment horizontal="center" vertical="center"/>
    </xf>
    <xf numFmtId="0" fontId="117" fillId="29" borderId="89" xfId="0" applyFont="1" applyFill="1" applyBorder="1" applyAlignment="1">
      <alignment horizontal="center" vertical="center"/>
    </xf>
    <xf numFmtId="0" fontId="117" fillId="29" borderId="84" xfId="0" applyFont="1" applyFill="1" applyBorder="1" applyAlignment="1">
      <alignment horizontal="center" vertical="center"/>
    </xf>
    <xf numFmtId="0" fontId="117" fillId="29" borderId="85" xfId="0" applyFont="1" applyFill="1" applyBorder="1" applyAlignment="1">
      <alignment horizontal="center" vertical="center"/>
    </xf>
    <xf numFmtId="0" fontId="117" fillId="29" borderId="0" xfId="0" applyFont="1" applyFill="1" applyAlignment="1">
      <alignment horizontal="center" vertical="center"/>
    </xf>
    <xf numFmtId="0" fontId="117" fillId="29" borderId="86" xfId="0" applyFont="1" applyFill="1" applyBorder="1" applyAlignment="1">
      <alignment horizontal="center" vertical="center"/>
    </xf>
    <xf numFmtId="0" fontId="117" fillId="29" borderId="87" xfId="0" applyFont="1" applyFill="1" applyBorder="1" applyAlignment="1">
      <alignment horizontal="center" vertical="center"/>
    </xf>
    <xf numFmtId="0" fontId="117" fillId="29" borderId="73" xfId="0" applyFont="1" applyFill="1" applyBorder="1" applyAlignment="1">
      <alignment horizontal="center" vertical="center"/>
    </xf>
    <xf numFmtId="0" fontId="117" fillId="29" borderId="88" xfId="0" applyFont="1" applyFill="1" applyBorder="1" applyAlignment="1">
      <alignment horizontal="center" vertical="center"/>
    </xf>
    <xf numFmtId="0" fontId="28" fillId="4" borderId="69" xfId="0" applyFont="1" applyFill="1" applyBorder="1" applyAlignment="1">
      <alignment horizontal="center"/>
    </xf>
    <xf numFmtId="0" fontId="28" fillId="4" borderId="70" xfId="0" applyFont="1" applyFill="1" applyBorder="1" applyAlignment="1">
      <alignment horizontal="center"/>
    </xf>
    <xf numFmtId="0" fontId="28" fillId="4" borderId="71" xfId="0" applyFont="1" applyFill="1" applyBorder="1" applyAlignment="1">
      <alignment horizontal="center"/>
    </xf>
    <xf numFmtId="0" fontId="28" fillId="13" borderId="69" xfId="0" applyFont="1" applyFill="1" applyBorder="1" applyAlignment="1">
      <alignment horizontal="center" vertical="center"/>
    </xf>
    <xf numFmtId="0" fontId="28" fillId="13" borderId="70" xfId="0" applyFont="1" applyFill="1" applyBorder="1" applyAlignment="1">
      <alignment horizontal="center" vertical="center"/>
    </xf>
    <xf numFmtId="0" fontId="28" fillId="13" borderId="71" xfId="0" applyFont="1" applyFill="1" applyBorder="1" applyAlignment="1">
      <alignment horizontal="center" vertical="center"/>
    </xf>
    <xf numFmtId="0" fontId="64" fillId="16" borderId="29" xfId="0" applyFont="1" applyFill="1" applyBorder="1" applyAlignment="1">
      <alignment horizontal="center" vertical="center" textRotation="90" wrapText="1"/>
    </xf>
    <xf numFmtId="0" fontId="64" fillId="16" borderId="1" xfId="0" applyFont="1" applyFill="1" applyBorder="1" applyAlignment="1">
      <alignment horizontal="center" vertical="center" textRotation="90" wrapText="1"/>
    </xf>
    <xf numFmtId="0" fontId="64" fillId="16" borderId="17" xfId="0" applyFont="1" applyFill="1" applyBorder="1" applyAlignment="1">
      <alignment horizontal="center" vertical="center" textRotation="90" wrapText="1"/>
    </xf>
    <xf numFmtId="0" fontId="23" fillId="9" borderId="32" xfId="0" applyFont="1" applyFill="1" applyBorder="1" applyAlignment="1">
      <alignment horizontal="left" vertical="center"/>
    </xf>
    <xf numFmtId="0" fontId="31" fillId="41" borderId="10" xfId="0" applyFont="1" applyFill="1" applyBorder="1" applyAlignment="1">
      <alignment horizontal="center" vertical="center" wrapText="1"/>
    </xf>
    <xf numFmtId="0" fontId="31" fillId="41" borderId="0" xfId="0" applyFont="1" applyFill="1" applyAlignment="1">
      <alignment horizontal="center" vertical="center" wrapText="1"/>
    </xf>
    <xf numFmtId="0" fontId="31" fillId="41" borderId="14" xfId="0" applyFont="1" applyFill="1" applyBorder="1" applyAlignment="1">
      <alignment horizontal="center" vertical="center" wrapText="1"/>
    </xf>
    <xf numFmtId="0" fontId="23" fillId="9" borderId="33" xfId="0" applyFont="1" applyFill="1" applyBorder="1" applyAlignment="1">
      <alignment horizontal="left"/>
    </xf>
    <xf numFmtId="0" fontId="23" fillId="9" borderId="34" xfId="0" applyFont="1" applyFill="1" applyBorder="1" applyAlignment="1">
      <alignment horizontal="left"/>
    </xf>
    <xf numFmtId="0" fontId="23" fillId="9" borderId="35" xfId="0" applyFont="1" applyFill="1" applyBorder="1" applyAlignment="1">
      <alignment horizontal="left"/>
    </xf>
    <xf numFmtId="0" fontId="135" fillId="18" borderId="0" xfId="0" applyFont="1" applyFill="1" applyAlignment="1">
      <alignment horizontal="center" vertical="center"/>
    </xf>
    <xf numFmtId="0" fontId="136" fillId="18" borderId="0" xfId="0" applyFont="1" applyFill="1" applyAlignment="1">
      <alignment horizontal="center" vertical="center"/>
    </xf>
    <xf numFmtId="165" fontId="20" fillId="18" borderId="0" xfId="1" applyNumberFormat="1" applyFont="1" applyFill="1" applyBorder="1" applyAlignment="1">
      <alignment horizontal="center" vertical="center" wrapText="1"/>
    </xf>
    <xf numFmtId="165" fontId="20" fillId="18" borderId="18" xfId="1" applyNumberFormat="1" applyFont="1" applyFill="1" applyBorder="1" applyAlignment="1">
      <alignment horizontal="center" vertical="center" wrapText="1"/>
    </xf>
    <xf numFmtId="0" fontId="64" fillId="16" borderId="30" xfId="0" applyFont="1" applyFill="1" applyBorder="1" applyAlignment="1">
      <alignment horizontal="center" vertical="center" textRotation="90" wrapText="1"/>
    </xf>
    <xf numFmtId="0" fontId="64" fillId="16" borderId="2" xfId="0" applyFont="1" applyFill="1" applyBorder="1" applyAlignment="1">
      <alignment horizontal="center" vertical="center" textRotation="90" wrapText="1"/>
    </xf>
    <xf numFmtId="0" fontId="22" fillId="9" borderId="32" xfId="0" applyFont="1" applyFill="1" applyBorder="1" applyAlignment="1">
      <alignment horizontal="left"/>
    </xf>
    <xf numFmtId="0" fontId="22" fillId="4" borderId="32" xfId="0" applyFont="1" applyFill="1" applyBorder="1" applyAlignment="1">
      <alignment horizontal="left"/>
    </xf>
    <xf numFmtId="0" fontId="33" fillId="18" borderId="25" xfId="0" applyFont="1" applyFill="1" applyBorder="1" applyAlignment="1">
      <alignment horizontal="center" vertical="center" wrapText="1"/>
    </xf>
    <xf numFmtId="0" fontId="33" fillId="18" borderId="0" xfId="0" applyFont="1" applyFill="1" applyAlignment="1">
      <alignment horizontal="center" vertical="center" wrapText="1"/>
    </xf>
    <xf numFmtId="0" fontId="22" fillId="4" borderId="32" xfId="0" applyFont="1" applyFill="1" applyBorder="1" applyAlignment="1">
      <alignment horizontal="left" vertical="center"/>
    </xf>
    <xf numFmtId="0" fontId="26" fillId="30" borderId="34" xfId="0" applyFont="1" applyFill="1" applyBorder="1" applyAlignment="1">
      <alignment horizontal="center"/>
    </xf>
    <xf numFmtId="0" fontId="20" fillId="18" borderId="0" xfId="0" applyFont="1" applyFill="1" applyAlignment="1">
      <alignment horizontal="center" vertical="center"/>
    </xf>
    <xf numFmtId="0" fontId="20" fillId="18" borderId="18" xfId="0" applyFont="1" applyFill="1" applyBorder="1" applyAlignment="1">
      <alignment horizontal="center" vertical="center"/>
    </xf>
    <xf numFmtId="0" fontId="20" fillId="18" borderId="0" xfId="0" applyFont="1" applyFill="1" applyAlignment="1">
      <alignment horizontal="center" vertical="center" wrapText="1"/>
    </xf>
    <xf numFmtId="0" fontId="20" fillId="18" borderId="18" xfId="0" applyFont="1" applyFill="1" applyBorder="1" applyAlignment="1">
      <alignment horizontal="center" vertical="center" wrapText="1"/>
    </xf>
    <xf numFmtId="0" fontId="26" fillId="30" borderId="0" xfId="0" applyFont="1" applyFill="1" applyAlignment="1">
      <alignment horizontal="center"/>
    </xf>
    <xf numFmtId="0" fontId="95" fillId="16" borderId="30" xfId="0" applyFont="1" applyFill="1" applyBorder="1" applyAlignment="1">
      <alignment horizontal="center" vertical="center" textRotation="90" wrapText="1"/>
    </xf>
    <xf numFmtId="0" fontId="95" fillId="16" borderId="2" xfId="0" applyFont="1" applyFill="1" applyBorder="1" applyAlignment="1">
      <alignment horizontal="center" vertical="center" textRotation="90" wrapText="1"/>
    </xf>
    <xf numFmtId="0" fontId="31" fillId="41" borderId="8" xfId="0" applyFont="1" applyFill="1" applyBorder="1" applyAlignment="1">
      <alignment horizontal="center" vertical="center"/>
    </xf>
    <xf numFmtId="0" fontId="31" fillId="41" borderId="22" xfId="0" applyFont="1" applyFill="1" applyBorder="1" applyAlignment="1">
      <alignment horizontal="center" vertical="center"/>
    </xf>
    <xf numFmtId="0" fontId="22" fillId="18" borderId="33" xfId="0" applyFont="1" applyFill="1" applyBorder="1" applyAlignment="1">
      <alignment horizontal="center" vertical="center"/>
    </xf>
    <xf numFmtId="0" fontId="22" fillId="18" borderId="34" xfId="0" applyFont="1" applyFill="1" applyBorder="1" applyAlignment="1">
      <alignment horizontal="center" vertical="center"/>
    </xf>
    <xf numFmtId="0" fontId="22" fillId="18" borderId="35" xfId="0" applyFont="1" applyFill="1" applyBorder="1" applyAlignment="1">
      <alignment horizontal="center" vertical="center"/>
    </xf>
    <xf numFmtId="0" fontId="20" fillId="18" borderId="26" xfId="0" applyFont="1" applyFill="1" applyBorder="1" applyAlignment="1">
      <alignment horizontal="center" vertical="center" wrapText="1"/>
    </xf>
    <xf numFmtId="0" fontId="20" fillId="18" borderId="28" xfId="0" applyFont="1" applyFill="1" applyBorder="1" applyAlignment="1">
      <alignment horizontal="center" vertical="center" wrapText="1"/>
    </xf>
    <xf numFmtId="0" fontId="22" fillId="9" borderId="33" xfId="0" applyFont="1" applyFill="1" applyBorder="1" applyAlignment="1">
      <alignment horizontal="left"/>
    </xf>
    <xf numFmtId="0" fontId="22" fillId="9" borderId="34" xfId="0" applyFont="1" applyFill="1" applyBorder="1" applyAlignment="1">
      <alignment horizontal="left"/>
    </xf>
    <xf numFmtId="0" fontId="22" fillId="9" borderId="35" xfId="0" applyFont="1" applyFill="1" applyBorder="1" applyAlignment="1">
      <alignment horizontal="left"/>
    </xf>
    <xf numFmtId="0" fontId="20" fillId="18" borderId="33" xfId="0" applyFont="1" applyFill="1" applyBorder="1" applyAlignment="1">
      <alignment horizontal="center" vertical="center"/>
    </xf>
    <xf numFmtId="0" fontId="20" fillId="18" borderId="34" xfId="0" applyFont="1" applyFill="1" applyBorder="1" applyAlignment="1">
      <alignment horizontal="center" vertical="center"/>
    </xf>
    <xf numFmtId="0" fontId="20" fillId="18" borderId="35" xfId="0" applyFont="1" applyFill="1" applyBorder="1" applyAlignment="1">
      <alignment horizontal="center" vertical="center"/>
    </xf>
    <xf numFmtId="165" fontId="20" fillId="18" borderId="26" xfId="1" applyNumberFormat="1" applyFont="1" applyFill="1" applyBorder="1" applyAlignment="1">
      <alignment horizontal="center" vertical="center" wrapText="1"/>
    </xf>
    <xf numFmtId="165" fontId="20" fillId="18" borderId="28" xfId="1" applyNumberFormat="1" applyFont="1" applyFill="1" applyBorder="1" applyAlignment="1">
      <alignment horizontal="center" vertical="center" wrapText="1"/>
    </xf>
    <xf numFmtId="0" fontId="65" fillId="16" borderId="2" xfId="0" applyFont="1" applyFill="1" applyBorder="1" applyAlignment="1">
      <alignment horizontal="center" vertical="center" textRotation="90" wrapText="1"/>
    </xf>
    <xf numFmtId="0" fontId="23" fillId="9" borderId="33" xfId="0" applyFont="1" applyFill="1" applyBorder="1" applyAlignment="1">
      <alignment horizontal="left" wrapText="1"/>
    </xf>
    <xf numFmtId="0" fontId="23" fillId="9" borderId="34" xfId="0" applyFont="1" applyFill="1" applyBorder="1" applyAlignment="1">
      <alignment horizontal="left" wrapText="1"/>
    </xf>
    <xf numFmtId="0" fontId="23" fillId="9" borderId="35" xfId="0" applyFont="1" applyFill="1" applyBorder="1" applyAlignment="1">
      <alignment horizontal="left" wrapText="1"/>
    </xf>
    <xf numFmtId="0" fontId="66" fillId="30" borderId="18" xfId="0" applyFont="1" applyFill="1" applyBorder="1" applyAlignment="1">
      <alignment horizontal="left" vertical="center" wrapText="1"/>
    </xf>
    <xf numFmtId="0" fontId="65" fillId="16" borderId="27" xfId="0" applyFont="1" applyFill="1" applyBorder="1" applyAlignment="1">
      <alignment horizontal="center" vertical="center" textRotation="90" wrapText="1"/>
    </xf>
    <xf numFmtId="0" fontId="66" fillId="16" borderId="26" xfId="0" applyFont="1" applyFill="1" applyBorder="1" applyAlignment="1">
      <alignment horizontal="center" vertical="center" textRotation="90" wrapText="1"/>
    </xf>
    <xf numFmtId="0" fontId="66" fillId="16" borderId="27" xfId="0" applyFont="1" applyFill="1" applyBorder="1" applyAlignment="1">
      <alignment horizontal="center" vertical="center" textRotation="90" wrapText="1"/>
    </xf>
    <xf numFmtId="0" fontId="66" fillId="16" borderId="28" xfId="0" applyFont="1" applyFill="1" applyBorder="1" applyAlignment="1">
      <alignment horizontal="center" vertical="center" textRotation="90" wrapText="1"/>
    </xf>
    <xf numFmtId="0" fontId="85" fillId="29" borderId="33" xfId="0" applyFont="1" applyFill="1" applyBorder="1" applyAlignment="1">
      <alignment horizontal="center" vertical="center"/>
    </xf>
    <xf numFmtId="0" fontId="85" fillId="29" borderId="34" xfId="0" applyFont="1" applyFill="1" applyBorder="1" applyAlignment="1">
      <alignment horizontal="center" vertical="center"/>
    </xf>
    <xf numFmtId="0" fontId="85" fillId="29" borderId="35" xfId="0" applyFont="1" applyFill="1" applyBorder="1" applyAlignment="1">
      <alignment horizontal="center" vertical="center"/>
    </xf>
    <xf numFmtId="0" fontId="96" fillId="26" borderId="0" xfId="0" applyFont="1" applyFill="1" applyAlignment="1">
      <alignment horizontal="center"/>
    </xf>
    <xf numFmtId="0" fontId="137" fillId="16" borderId="0" xfId="0" applyFont="1" applyFill="1" applyAlignment="1">
      <alignment horizontal="center" vertical="center" textRotation="90" wrapText="1"/>
    </xf>
    <xf numFmtId="0" fontId="137" fillId="16" borderId="18" xfId="0" applyFont="1" applyFill="1" applyBorder="1" applyAlignment="1">
      <alignment horizontal="center" vertical="center" textRotation="90" wrapText="1"/>
    </xf>
    <xf numFmtId="0" fontId="34" fillId="9" borderId="32" xfId="0" applyFont="1" applyFill="1" applyBorder="1" applyAlignment="1">
      <alignment horizontal="left" vertical="center" wrapText="1"/>
    </xf>
    <xf numFmtId="0" fontId="23" fillId="9" borderId="32" xfId="0" applyFont="1" applyFill="1" applyBorder="1" applyAlignment="1">
      <alignment horizontal="left" vertical="center" wrapText="1"/>
    </xf>
    <xf numFmtId="0" fontId="66" fillId="16" borderId="29" xfId="0" applyFont="1" applyFill="1" applyBorder="1" applyAlignment="1">
      <alignment horizontal="center" vertical="center" textRotation="90" wrapText="1"/>
    </xf>
    <xf numFmtId="0" fontId="66" fillId="16" borderId="1" xfId="0" applyFont="1" applyFill="1" applyBorder="1" applyAlignment="1">
      <alignment horizontal="center" vertical="center" textRotation="90" wrapText="1"/>
    </xf>
    <xf numFmtId="0" fontId="66" fillId="16" borderId="17" xfId="0" applyFont="1" applyFill="1" applyBorder="1" applyAlignment="1">
      <alignment horizontal="center" vertical="center" textRotation="90" wrapText="1"/>
    </xf>
    <xf numFmtId="0" fontId="29" fillId="16" borderId="26" xfId="0" applyFont="1" applyFill="1" applyBorder="1" applyAlignment="1">
      <alignment horizontal="center" vertical="center" textRotation="90" wrapText="1"/>
    </xf>
    <xf numFmtId="0" fontId="29" fillId="16" borderId="27" xfId="0" applyFont="1" applyFill="1" applyBorder="1" applyAlignment="1">
      <alignment horizontal="center" vertical="center" textRotation="90" wrapText="1"/>
    </xf>
    <xf numFmtId="0" fontId="22" fillId="48" borderId="1" xfId="0" applyFont="1" applyFill="1" applyBorder="1" applyAlignment="1">
      <alignment horizontal="center"/>
    </xf>
    <xf numFmtId="0" fontId="22" fillId="48" borderId="0" xfId="0" applyFont="1" applyFill="1" applyAlignment="1">
      <alignment horizontal="center"/>
    </xf>
    <xf numFmtId="0" fontId="22" fillId="48" borderId="2" xfId="0" applyFont="1" applyFill="1" applyBorder="1" applyAlignment="1">
      <alignment horizontal="center"/>
    </xf>
    <xf numFmtId="0" fontId="56" fillId="47" borderId="26" xfId="0" applyFont="1" applyFill="1" applyBorder="1" applyAlignment="1">
      <alignment horizontal="center" vertical="center"/>
    </xf>
    <xf numFmtId="0" fontId="56" fillId="47" borderId="28" xfId="0" applyFont="1" applyFill="1" applyBorder="1" applyAlignment="1">
      <alignment horizontal="center" vertical="center"/>
    </xf>
    <xf numFmtId="0" fontId="21" fillId="12" borderId="33" xfId="0" applyFont="1" applyFill="1" applyBorder="1" applyAlignment="1">
      <alignment horizontal="center"/>
    </xf>
    <xf numFmtId="0" fontId="21" fillId="12" borderId="35" xfId="0" applyFont="1" applyFill="1" applyBorder="1" applyAlignment="1">
      <alignment horizontal="center"/>
    </xf>
    <xf numFmtId="0" fontId="98" fillId="26" borderId="1" xfId="0" applyFont="1" applyFill="1" applyBorder="1" applyAlignment="1">
      <alignment horizontal="center" vertical="center" wrapText="1"/>
    </xf>
    <xf numFmtId="0" fontId="98" fillId="26" borderId="0" xfId="0" applyFont="1" applyFill="1" applyAlignment="1">
      <alignment horizontal="center" vertical="center" wrapText="1"/>
    </xf>
    <xf numFmtId="0" fontId="21" fillId="12" borderId="33" xfId="0" applyFont="1" applyFill="1" applyBorder="1" applyAlignment="1">
      <alignment horizontal="left"/>
    </xf>
    <xf numFmtId="0" fontId="21" fillId="12" borderId="35" xfId="0" applyFont="1" applyFill="1" applyBorder="1" applyAlignment="1">
      <alignment horizontal="left"/>
    </xf>
    <xf numFmtId="0" fontId="56" fillId="26" borderId="17" xfId="0" applyFont="1" applyFill="1" applyBorder="1" applyAlignment="1">
      <alignment horizontal="center" vertical="center"/>
    </xf>
    <xf numFmtId="0" fontId="56" fillId="26" borderId="18" xfId="0" applyFont="1" applyFill="1" applyBorder="1" applyAlignment="1">
      <alignment horizontal="center" vertical="center"/>
    </xf>
    <xf numFmtId="0" fontId="50" fillId="16" borderId="48" xfId="0" applyFont="1" applyFill="1" applyBorder="1" applyAlignment="1">
      <alignment horizontal="center" vertical="center"/>
    </xf>
    <xf numFmtId="0" fontId="50" fillId="16" borderId="6" xfId="0" applyFont="1" applyFill="1" applyBorder="1" applyAlignment="1">
      <alignment horizontal="center" vertical="center"/>
    </xf>
    <xf numFmtId="0" fontId="67" fillId="34" borderId="0" xfId="0" applyFont="1" applyFill="1" applyAlignment="1" applyProtection="1">
      <alignment horizontal="left" vertical="center" wrapText="1"/>
      <protection locked="0"/>
    </xf>
    <xf numFmtId="0" fontId="22" fillId="19" borderId="33" xfId="0" applyFont="1" applyFill="1" applyBorder="1" applyAlignment="1">
      <alignment horizontal="center" vertical="center"/>
    </xf>
    <xf numFmtId="0" fontId="22" fillId="19" borderId="34" xfId="0" applyFont="1" applyFill="1" applyBorder="1" applyAlignment="1">
      <alignment horizontal="center" vertical="center"/>
    </xf>
    <xf numFmtId="0" fontId="22" fillId="19" borderId="35" xfId="0" applyFont="1" applyFill="1" applyBorder="1" applyAlignment="1">
      <alignment horizontal="center" vertical="center"/>
    </xf>
    <xf numFmtId="0" fontId="23" fillId="8" borderId="33" xfId="0" applyFont="1" applyFill="1" applyBorder="1" applyAlignment="1">
      <alignment horizontal="left"/>
    </xf>
    <xf numFmtId="0" fontId="23" fillId="8" borderId="34" xfId="0" applyFont="1" applyFill="1" applyBorder="1" applyAlignment="1">
      <alignment horizontal="left"/>
    </xf>
    <xf numFmtId="0" fontId="23" fillId="8" borderId="35" xfId="0" applyFont="1" applyFill="1" applyBorder="1" applyAlignment="1">
      <alignment horizontal="left"/>
    </xf>
    <xf numFmtId="0" fontId="20" fillId="8" borderId="33" xfId="0" applyFont="1" applyFill="1" applyBorder="1" applyAlignment="1">
      <alignment horizontal="center" vertical="center"/>
    </xf>
    <xf numFmtId="0" fontId="20" fillId="8" borderId="34" xfId="0" applyFont="1" applyFill="1" applyBorder="1" applyAlignment="1">
      <alignment horizontal="center" vertical="center"/>
    </xf>
    <xf numFmtId="0" fontId="27" fillId="8" borderId="33" xfId="0" applyFont="1" applyFill="1" applyBorder="1" applyAlignment="1">
      <alignment horizontal="right" vertical="center"/>
    </xf>
    <xf numFmtId="0" fontId="27" fillId="8" borderId="34" xfId="0" applyFont="1" applyFill="1" applyBorder="1" applyAlignment="1">
      <alignment horizontal="right" vertical="center"/>
    </xf>
    <xf numFmtId="0" fontId="27" fillId="8" borderId="35" xfId="0" applyFont="1" applyFill="1" applyBorder="1" applyAlignment="1">
      <alignment horizontal="right" vertical="center"/>
    </xf>
    <xf numFmtId="0" fontId="32" fillId="8" borderId="33" xfId="0" applyFont="1" applyFill="1" applyBorder="1" applyAlignment="1">
      <alignment horizontal="right"/>
    </xf>
    <xf numFmtId="0" fontId="32" fillId="8" borderId="34" xfId="0" applyFont="1" applyFill="1" applyBorder="1" applyAlignment="1">
      <alignment horizontal="right"/>
    </xf>
    <xf numFmtId="0" fontId="32" fillId="8" borderId="35" xfId="0" applyFont="1" applyFill="1" applyBorder="1" applyAlignment="1">
      <alignment horizontal="right"/>
    </xf>
    <xf numFmtId="0" fontId="32" fillId="8" borderId="33" xfId="0" applyFont="1" applyFill="1" applyBorder="1" applyAlignment="1">
      <alignment horizontal="left"/>
    </xf>
    <xf numFmtId="0" fontId="32" fillId="8" borderId="34" xfId="0" applyFont="1" applyFill="1" applyBorder="1" applyAlignment="1">
      <alignment horizontal="left"/>
    </xf>
    <xf numFmtId="0" fontId="32" fillId="8" borderId="35" xfId="0" applyFont="1" applyFill="1" applyBorder="1" applyAlignment="1">
      <alignment horizontal="left"/>
    </xf>
    <xf numFmtId="0" fontId="32" fillId="48" borderId="1" xfId="0" applyFont="1" applyFill="1" applyBorder="1" applyAlignment="1">
      <alignment horizontal="center"/>
    </xf>
    <xf numFmtId="0" fontId="32" fillId="48" borderId="0" xfId="0" applyFont="1" applyFill="1" applyAlignment="1">
      <alignment horizontal="center"/>
    </xf>
    <xf numFmtId="0" fontId="23" fillId="31" borderId="32" xfId="0" applyFont="1" applyFill="1" applyBorder="1" applyAlignment="1" applyProtection="1">
      <alignment horizontal="left"/>
      <protection locked="0"/>
    </xf>
    <xf numFmtId="0" fontId="22" fillId="19" borderId="90" xfId="0" applyFont="1" applyFill="1" applyBorder="1" applyAlignment="1">
      <alignment horizontal="center" vertical="center"/>
    </xf>
    <xf numFmtId="0" fontId="22" fillId="19" borderId="6" xfId="0" applyFont="1" applyFill="1" applyBorder="1" applyAlignment="1">
      <alignment horizontal="center" vertical="center"/>
    </xf>
    <xf numFmtId="0" fontId="22" fillId="19" borderId="91" xfId="0" applyFont="1" applyFill="1" applyBorder="1" applyAlignment="1">
      <alignment horizontal="center" vertical="center"/>
    </xf>
    <xf numFmtId="165" fontId="119" fillId="19" borderId="90" xfId="0" applyNumberFormat="1" applyFont="1" applyFill="1" applyBorder="1" applyAlignment="1" applyProtection="1">
      <alignment horizontal="center"/>
      <protection locked="0"/>
    </xf>
    <xf numFmtId="165" fontId="119" fillId="19" borderId="6" xfId="0" applyNumberFormat="1" applyFont="1" applyFill="1" applyBorder="1" applyAlignment="1" applyProtection="1">
      <alignment horizontal="center"/>
      <protection locked="0"/>
    </xf>
    <xf numFmtId="0" fontId="22" fillId="19" borderId="1" xfId="0" applyFont="1" applyFill="1" applyBorder="1" applyAlignment="1">
      <alignment horizontal="center" vertical="center"/>
    </xf>
    <xf numFmtId="0" fontId="22" fillId="19" borderId="0" xfId="0" applyFont="1" applyFill="1" applyAlignment="1">
      <alignment horizontal="center" vertical="center"/>
    </xf>
    <xf numFmtId="0" fontId="22" fillId="19" borderId="2" xfId="0" applyFont="1" applyFill="1" applyBorder="1" applyAlignment="1">
      <alignment horizontal="center" vertical="center"/>
    </xf>
    <xf numFmtId="165" fontId="119" fillId="19" borderId="1" xfId="0" applyNumberFormat="1" applyFont="1" applyFill="1" applyBorder="1" applyAlignment="1">
      <alignment horizontal="center"/>
    </xf>
    <xf numFmtId="165" fontId="119" fillId="19" borderId="0" xfId="0" applyNumberFormat="1" applyFont="1" applyFill="1" applyAlignment="1">
      <alignment horizontal="center"/>
    </xf>
    <xf numFmtId="0" fontId="22" fillId="19" borderId="33" xfId="0" applyFont="1" applyFill="1" applyBorder="1" applyAlignment="1">
      <alignment horizontal="left"/>
    </xf>
    <xf numFmtId="0" fontId="22" fillId="19" borderId="34" xfId="0" applyFont="1" applyFill="1" applyBorder="1" applyAlignment="1">
      <alignment horizontal="left"/>
    </xf>
    <xf numFmtId="0" fontId="22" fillId="19" borderId="35" xfId="0" applyFont="1" applyFill="1" applyBorder="1" applyAlignment="1">
      <alignment horizontal="left"/>
    </xf>
    <xf numFmtId="0" fontId="50" fillId="16" borderId="0" xfId="0" applyFont="1" applyFill="1" applyAlignment="1">
      <alignment horizontal="center" vertical="center"/>
    </xf>
    <xf numFmtId="0" fontId="31" fillId="16" borderId="0" xfId="0" applyFont="1" applyFill="1" applyAlignment="1">
      <alignment horizontal="center" vertical="center" wrapText="1"/>
    </xf>
    <xf numFmtId="0" fontId="31" fillId="16" borderId="18" xfId="0" applyFont="1" applyFill="1" applyBorder="1" applyAlignment="1">
      <alignment horizontal="center" vertical="center" wrapText="1"/>
    </xf>
    <xf numFmtId="0" fontId="121" fillId="19" borderId="7" xfId="0" applyFont="1" applyFill="1" applyBorder="1" applyAlignment="1">
      <alignment horizontal="center"/>
    </xf>
    <xf numFmtId="0" fontId="121" fillId="19" borderId="0" xfId="0" applyFont="1" applyFill="1" applyAlignment="1">
      <alignment horizontal="center"/>
    </xf>
    <xf numFmtId="0" fontId="122" fillId="21" borderId="0" xfId="0" applyFont="1" applyFill="1" applyAlignment="1">
      <alignment horizontal="center"/>
    </xf>
    <xf numFmtId="0" fontId="23" fillId="21" borderId="0" xfId="0" applyFont="1" applyFill="1" applyAlignment="1">
      <alignment horizontal="center"/>
    </xf>
    <xf numFmtId="0" fontId="21" fillId="21" borderId="33" xfId="0" applyFont="1" applyFill="1" applyBorder="1" applyAlignment="1">
      <alignment horizontal="center" vertical="center"/>
    </xf>
    <xf numFmtId="0" fontId="21" fillId="21" borderId="35" xfId="0" applyFont="1" applyFill="1" applyBorder="1" applyAlignment="1">
      <alignment horizontal="center" vertical="center"/>
    </xf>
    <xf numFmtId="0" fontId="21" fillId="21" borderId="33" xfId="0" applyFont="1" applyFill="1" applyBorder="1" applyAlignment="1">
      <alignment horizontal="center" wrapText="1"/>
    </xf>
    <xf numFmtId="0" fontId="21" fillId="21" borderId="35" xfId="0" applyFont="1" applyFill="1" applyBorder="1" applyAlignment="1">
      <alignment horizontal="center" wrapText="1"/>
    </xf>
    <xf numFmtId="0" fontId="21" fillId="21" borderId="33" xfId="0" applyFont="1" applyFill="1" applyBorder="1" applyAlignment="1">
      <alignment horizontal="center" vertical="center" wrapText="1"/>
    </xf>
    <xf numFmtId="0" fontId="21" fillId="21" borderId="35" xfId="0" applyFont="1" applyFill="1" applyBorder="1" applyAlignment="1">
      <alignment horizontal="center" vertical="center" wrapText="1"/>
    </xf>
    <xf numFmtId="165" fontId="84" fillId="19" borderId="1" xfId="0" applyNumberFormat="1" applyFont="1" applyFill="1" applyBorder="1" applyAlignment="1">
      <alignment horizontal="center"/>
    </xf>
    <xf numFmtId="165" fontId="84" fillId="19" borderId="0" xfId="0" applyNumberFormat="1" applyFont="1" applyFill="1" applyAlignment="1">
      <alignment horizontal="center"/>
    </xf>
    <xf numFmtId="172" fontId="84" fillId="19" borderId="1" xfId="2" applyNumberFormat="1" applyFont="1" applyFill="1" applyBorder="1" applyAlignment="1">
      <alignment horizontal="center"/>
    </xf>
    <xf numFmtId="172" fontId="84" fillId="19" borderId="0" xfId="2" applyNumberFormat="1" applyFont="1" applyFill="1" applyBorder="1" applyAlignment="1">
      <alignment horizontal="center"/>
    </xf>
    <xf numFmtId="0" fontId="120" fillId="21" borderId="34" xfId="0" applyFont="1" applyFill="1" applyBorder="1" applyAlignment="1">
      <alignment horizontal="center" vertical="center" wrapText="1"/>
    </xf>
    <xf numFmtId="0" fontId="120" fillId="21" borderId="35" xfId="0" applyFont="1" applyFill="1" applyBorder="1" applyAlignment="1">
      <alignment horizontal="center" vertical="center" wrapText="1"/>
    </xf>
    <xf numFmtId="0" fontId="120" fillId="21" borderId="34" xfId="0" applyFont="1" applyFill="1" applyBorder="1" applyAlignment="1">
      <alignment horizontal="center" vertical="center"/>
    </xf>
    <xf numFmtId="0" fontId="120" fillId="21" borderId="35" xfId="0" applyFont="1" applyFill="1" applyBorder="1" applyAlignment="1">
      <alignment horizontal="center" vertical="center"/>
    </xf>
    <xf numFmtId="0" fontId="123" fillId="21" borderId="33" xfId="0" applyFont="1" applyFill="1" applyBorder="1" applyAlignment="1">
      <alignment horizontal="center" vertical="center"/>
    </xf>
    <xf numFmtId="0" fontId="123" fillId="21" borderId="34" xfId="0" applyFont="1" applyFill="1" applyBorder="1" applyAlignment="1">
      <alignment horizontal="center" vertical="center"/>
    </xf>
    <xf numFmtId="0" fontId="116" fillId="46" borderId="25" xfId="0" applyFont="1" applyFill="1" applyBorder="1" applyAlignment="1">
      <alignment horizontal="center" vertical="center" wrapText="1"/>
    </xf>
    <xf numFmtId="0" fontId="116" fillId="46" borderId="0" xfId="0" applyFont="1" applyFill="1" applyAlignment="1">
      <alignment horizontal="center" vertical="center" wrapText="1"/>
    </xf>
    <xf numFmtId="0" fontId="143" fillId="21" borderId="29" xfId="0" applyFont="1" applyFill="1" applyBorder="1" applyAlignment="1">
      <alignment horizontal="center" vertical="center" textRotation="90" wrapText="1"/>
    </xf>
    <xf numFmtId="0" fontId="143" fillId="21" borderId="1" xfId="0" applyFont="1" applyFill="1" applyBorder="1" applyAlignment="1">
      <alignment horizontal="center" vertical="center" textRotation="90" wrapText="1"/>
    </xf>
    <xf numFmtId="0" fontId="6" fillId="26" borderId="26" xfId="0" applyFont="1" applyFill="1" applyBorder="1" applyAlignment="1">
      <alignment horizontal="center" vertical="center" textRotation="90" wrapText="1"/>
    </xf>
    <xf numFmtId="0" fontId="6" fillId="26" borderId="27" xfId="0" applyFont="1" applyFill="1" applyBorder="1" applyAlignment="1">
      <alignment horizontal="center" vertical="center" textRotation="90" wrapText="1"/>
    </xf>
    <xf numFmtId="0" fontId="6" fillId="26" borderId="28" xfId="0" applyFont="1" applyFill="1" applyBorder="1" applyAlignment="1">
      <alignment horizontal="center" vertical="center" textRotation="90" wrapText="1"/>
    </xf>
    <xf numFmtId="0" fontId="46" fillId="29" borderId="26" xfId="0" applyFont="1" applyFill="1" applyBorder="1" applyAlignment="1">
      <alignment horizontal="center" vertical="center"/>
    </xf>
    <xf numFmtId="0" fontId="46" fillId="29" borderId="27" xfId="0" applyFont="1" applyFill="1" applyBorder="1" applyAlignment="1">
      <alignment horizontal="center" vertical="center"/>
    </xf>
    <xf numFmtId="0" fontId="46" fillId="29" borderId="28" xfId="0" applyFont="1" applyFill="1" applyBorder="1" applyAlignment="1">
      <alignment horizontal="center" vertical="center"/>
    </xf>
    <xf numFmtId="0" fontId="99" fillId="29" borderId="0" xfId="0" applyFont="1" applyFill="1" applyAlignment="1">
      <alignment horizontal="left"/>
    </xf>
    <xf numFmtId="0" fontId="23" fillId="9" borderId="33" xfId="0" applyFont="1" applyFill="1" applyBorder="1" applyAlignment="1">
      <alignment horizontal="left" vertical="center" wrapText="1"/>
    </xf>
    <xf numFmtId="0" fontId="23" fillId="9" borderId="34" xfId="0" applyFont="1" applyFill="1" applyBorder="1" applyAlignment="1">
      <alignment horizontal="left" vertical="center" wrapText="1"/>
    </xf>
    <xf numFmtId="0" fontId="23" fillId="9" borderId="35" xfId="0" applyFont="1" applyFill="1" applyBorder="1" applyAlignment="1">
      <alignment horizontal="left" vertical="center" wrapText="1"/>
    </xf>
    <xf numFmtId="0" fontId="0" fillId="26" borderId="33" xfId="0" applyFill="1" applyBorder="1" applyAlignment="1">
      <alignment horizontal="center"/>
    </xf>
    <xf numFmtId="0" fontId="0" fillId="26" borderId="34" xfId="0" applyFill="1" applyBorder="1" applyAlignment="1">
      <alignment horizontal="center"/>
    </xf>
    <xf numFmtId="0" fontId="0" fillId="26" borderId="35" xfId="0" applyFill="1" applyBorder="1" applyAlignment="1">
      <alignment horizontal="center"/>
    </xf>
    <xf numFmtId="0" fontId="23" fillId="4" borderId="33" xfId="0" applyFont="1" applyFill="1" applyBorder="1" applyAlignment="1">
      <alignment horizontal="left"/>
    </xf>
    <xf numFmtId="0" fontId="23" fillId="4" borderId="34" xfId="0" applyFont="1" applyFill="1" applyBorder="1" applyAlignment="1">
      <alignment horizontal="left"/>
    </xf>
    <xf numFmtId="0" fontId="23" fillId="4" borderId="35" xfId="0" applyFont="1" applyFill="1" applyBorder="1" applyAlignment="1">
      <alignment horizontal="left"/>
    </xf>
    <xf numFmtId="0" fontId="31" fillId="16" borderId="1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textRotation="90" wrapText="1"/>
    </xf>
    <xf numFmtId="0" fontId="34" fillId="12" borderId="29" xfId="0" applyFont="1" applyFill="1" applyBorder="1" applyAlignment="1">
      <alignment horizontal="left" vertical="center" wrapText="1"/>
    </xf>
    <xf numFmtId="0" fontId="34" fillId="12" borderId="25" xfId="0" applyFont="1" applyFill="1" applyBorder="1" applyAlignment="1">
      <alignment horizontal="left" vertical="center" wrapText="1"/>
    </xf>
    <xf numFmtId="0" fontId="34" fillId="12" borderId="30" xfId="0" applyFont="1" applyFill="1" applyBorder="1" applyAlignment="1">
      <alignment horizontal="left" vertical="center" wrapText="1"/>
    </xf>
    <xf numFmtId="0" fontId="34" fillId="12" borderId="1" xfId="0" applyFont="1" applyFill="1" applyBorder="1" applyAlignment="1">
      <alignment horizontal="left" vertical="center" wrapText="1"/>
    </xf>
    <xf numFmtId="0" fontId="34" fillId="12" borderId="0" xfId="0" applyFont="1" applyFill="1" applyAlignment="1">
      <alignment horizontal="left" vertical="center" wrapText="1"/>
    </xf>
    <xf numFmtId="0" fontId="34" fillId="12" borderId="2" xfId="0" applyFont="1" applyFill="1" applyBorder="1" applyAlignment="1">
      <alignment horizontal="left" vertical="center" wrapText="1"/>
    </xf>
    <xf numFmtId="165" fontId="9" fillId="12" borderId="1" xfId="0" applyNumberFormat="1" applyFont="1" applyFill="1" applyBorder="1" applyAlignment="1">
      <alignment horizontal="right" vertical="center"/>
    </xf>
    <xf numFmtId="165" fontId="9" fillId="12" borderId="0" xfId="0" applyNumberFormat="1" applyFont="1" applyFill="1" applyAlignment="1">
      <alignment horizontal="right" vertical="center"/>
    </xf>
    <xf numFmtId="165" fontId="9" fillId="12" borderId="2" xfId="0" applyNumberFormat="1" applyFont="1" applyFill="1" applyBorder="1" applyAlignment="1">
      <alignment horizontal="right" vertical="center"/>
    </xf>
    <xf numFmtId="165" fontId="9" fillId="12" borderId="17" xfId="0" applyNumberFormat="1" applyFont="1" applyFill="1" applyBorder="1" applyAlignment="1">
      <alignment horizontal="right" vertical="center"/>
    </xf>
    <xf numFmtId="165" fontId="9" fillId="12" borderId="18" xfId="0" applyNumberFormat="1" applyFont="1" applyFill="1" applyBorder="1" applyAlignment="1">
      <alignment horizontal="right" vertical="center"/>
    </xf>
    <xf numFmtId="165" fontId="9" fillId="12" borderId="31" xfId="0" applyNumberFormat="1" applyFont="1" applyFill="1" applyBorder="1" applyAlignment="1">
      <alignment horizontal="right" vertical="center"/>
    </xf>
    <xf numFmtId="0" fontId="34" fillId="12" borderId="17" xfId="0" applyFont="1" applyFill="1" applyBorder="1" applyAlignment="1">
      <alignment horizontal="left" vertical="center" wrapText="1"/>
    </xf>
    <xf numFmtId="0" fontId="34" fillId="12" borderId="18" xfId="0" applyFont="1" applyFill="1" applyBorder="1" applyAlignment="1">
      <alignment horizontal="left" vertical="center" wrapText="1"/>
    </xf>
    <xf numFmtId="0" fontId="34" fillId="12" borderId="31" xfId="0" applyFont="1" applyFill="1" applyBorder="1" applyAlignment="1">
      <alignment horizontal="left" vertical="center" wrapText="1"/>
    </xf>
    <xf numFmtId="0" fontId="33" fillId="12" borderId="1" xfId="0" applyFont="1" applyFill="1" applyBorder="1" applyAlignment="1">
      <alignment horizontal="left" vertical="center" wrapText="1"/>
    </xf>
    <xf numFmtId="0" fontId="33" fillId="12" borderId="0" xfId="0" applyFont="1" applyFill="1" applyAlignment="1">
      <alignment horizontal="left" vertical="center" wrapText="1"/>
    </xf>
    <xf numFmtId="0" fontId="33" fillId="12" borderId="2" xfId="0" applyFont="1" applyFill="1" applyBorder="1" applyAlignment="1">
      <alignment horizontal="left" vertical="center" wrapText="1"/>
    </xf>
    <xf numFmtId="165" fontId="9" fillId="12" borderId="29" xfId="0" applyNumberFormat="1" applyFont="1" applyFill="1" applyBorder="1" applyAlignment="1">
      <alignment horizontal="right" vertical="center"/>
    </xf>
    <xf numFmtId="165" fontId="9" fillId="12" borderId="25" xfId="0" applyNumberFormat="1" applyFont="1" applyFill="1" applyBorder="1" applyAlignment="1">
      <alignment horizontal="right" vertical="center"/>
    </xf>
    <xf numFmtId="165" fontId="9" fillId="12" borderId="30" xfId="0" applyNumberFormat="1" applyFont="1" applyFill="1" applyBorder="1" applyAlignment="1">
      <alignment horizontal="right" vertical="center"/>
    </xf>
    <xf numFmtId="165" fontId="10" fillId="12" borderId="17" xfId="0" applyNumberFormat="1" applyFont="1" applyFill="1" applyBorder="1" applyAlignment="1">
      <alignment horizontal="right" vertical="center"/>
    </xf>
    <xf numFmtId="165" fontId="10" fillId="12" borderId="18" xfId="0" applyNumberFormat="1" applyFont="1" applyFill="1" applyBorder="1" applyAlignment="1">
      <alignment horizontal="right" vertical="center"/>
    </xf>
    <xf numFmtId="165" fontId="10" fillId="12" borderId="31" xfId="0" applyNumberFormat="1" applyFont="1" applyFill="1" applyBorder="1" applyAlignment="1">
      <alignment horizontal="right" vertical="center"/>
    </xf>
    <xf numFmtId="0" fontId="33" fillId="12" borderId="17" xfId="0" applyFont="1" applyFill="1" applyBorder="1" applyAlignment="1">
      <alignment horizontal="left" vertical="center" wrapText="1"/>
    </xf>
    <xf numFmtId="0" fontId="33" fillId="12" borderId="18" xfId="0" applyFont="1" applyFill="1" applyBorder="1" applyAlignment="1">
      <alignment horizontal="left" vertical="center" wrapText="1"/>
    </xf>
    <xf numFmtId="0" fontId="33" fillId="12" borderId="31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4" fillId="12" borderId="29" xfId="0" applyFont="1" applyFill="1" applyBorder="1" applyAlignment="1">
      <alignment horizontal="left" vertical="center"/>
    </xf>
    <xf numFmtId="0" fontId="34" fillId="12" borderId="25" xfId="0" applyFont="1" applyFill="1" applyBorder="1" applyAlignment="1">
      <alignment horizontal="left" vertical="center"/>
    </xf>
    <xf numFmtId="0" fontId="34" fillId="12" borderId="1" xfId="0" applyFont="1" applyFill="1" applyBorder="1" applyAlignment="1">
      <alignment horizontal="left" vertical="center"/>
    </xf>
    <xf numFmtId="0" fontId="34" fillId="12" borderId="0" xfId="0" applyFont="1" applyFill="1" applyAlignment="1">
      <alignment horizontal="left" vertical="center"/>
    </xf>
    <xf numFmtId="0" fontId="34" fillId="12" borderId="2" xfId="0" applyFont="1" applyFill="1" applyBorder="1" applyAlignment="1">
      <alignment horizontal="left" vertical="center"/>
    </xf>
    <xf numFmtId="0" fontId="33" fillId="12" borderId="17" xfId="0" applyFont="1" applyFill="1" applyBorder="1" applyAlignment="1">
      <alignment horizontal="left" vertical="center"/>
    </xf>
    <xf numFmtId="0" fontId="33" fillId="12" borderId="18" xfId="0" applyFont="1" applyFill="1" applyBorder="1" applyAlignment="1">
      <alignment horizontal="left" vertical="center"/>
    </xf>
    <xf numFmtId="0" fontId="33" fillId="12" borderId="31" xfId="0" applyFont="1" applyFill="1" applyBorder="1" applyAlignment="1">
      <alignment horizontal="left" vertical="center"/>
    </xf>
    <xf numFmtId="0" fontId="102" fillId="0" borderId="26" xfId="0" applyFont="1" applyBorder="1" applyAlignment="1">
      <alignment horizontal="center" vertical="center" textRotation="90" wrapText="1"/>
    </xf>
    <xf numFmtId="0" fontId="102" fillId="0" borderId="27" xfId="0" applyFont="1" applyBorder="1" applyAlignment="1">
      <alignment horizontal="center" vertical="center" textRotation="90" wrapText="1"/>
    </xf>
    <xf numFmtId="0" fontId="102" fillId="0" borderId="28" xfId="0" applyFont="1" applyBorder="1" applyAlignment="1">
      <alignment horizontal="center" vertical="center" textRotation="90" wrapText="1"/>
    </xf>
    <xf numFmtId="0" fontId="33" fillId="12" borderId="1" xfId="0" applyFont="1" applyFill="1" applyBorder="1" applyAlignment="1">
      <alignment horizontal="left" vertical="center"/>
    </xf>
    <xf numFmtId="0" fontId="33" fillId="12" borderId="0" xfId="0" applyFont="1" applyFill="1" applyAlignment="1">
      <alignment horizontal="left" vertical="center"/>
    </xf>
    <xf numFmtId="0" fontId="34" fillId="12" borderId="17" xfId="0" applyFont="1" applyFill="1" applyBorder="1" applyAlignment="1">
      <alignment horizontal="left" vertical="center"/>
    </xf>
    <xf numFmtId="0" fontId="103" fillId="0" borderId="29" xfId="0" applyFont="1" applyBorder="1" applyAlignment="1">
      <alignment horizontal="center" vertical="center" textRotation="90" wrapText="1"/>
    </xf>
    <xf numFmtId="0" fontId="103" fillId="0" borderId="1" xfId="0" applyFont="1" applyBorder="1" applyAlignment="1">
      <alignment horizontal="center" vertical="center" textRotation="90" wrapText="1"/>
    </xf>
    <xf numFmtId="0" fontId="103" fillId="0" borderId="17" xfId="0" applyFont="1" applyBorder="1" applyAlignment="1">
      <alignment horizontal="center" vertical="center" textRotation="90" wrapText="1"/>
    </xf>
    <xf numFmtId="165" fontId="10" fillId="12" borderId="0" xfId="0" applyNumberFormat="1" applyFont="1" applyFill="1" applyAlignment="1">
      <alignment horizontal="right" vertical="center"/>
    </xf>
    <xf numFmtId="165" fontId="10" fillId="12" borderId="2" xfId="0" applyNumberFormat="1" applyFont="1" applyFill="1" applyBorder="1" applyAlignment="1">
      <alignment horizontal="right" vertical="center"/>
    </xf>
    <xf numFmtId="0" fontId="21" fillId="12" borderId="1" xfId="0" applyFont="1" applyFill="1" applyBorder="1" applyAlignment="1">
      <alignment horizontal="left" vertical="center" wrapText="1"/>
    </xf>
    <xf numFmtId="0" fontId="21" fillId="12" borderId="0" xfId="0" applyFont="1" applyFill="1" applyAlignment="1">
      <alignment horizontal="left" vertical="center" wrapText="1"/>
    </xf>
    <xf numFmtId="0" fontId="21" fillId="12" borderId="2" xfId="0" applyFont="1" applyFill="1" applyBorder="1" applyAlignment="1">
      <alignment horizontal="left" vertical="center" wrapText="1"/>
    </xf>
    <xf numFmtId="165" fontId="10" fillId="12" borderId="29" xfId="0" applyNumberFormat="1" applyFont="1" applyFill="1" applyBorder="1" applyAlignment="1">
      <alignment horizontal="right" vertical="center"/>
    </xf>
    <xf numFmtId="165" fontId="10" fillId="12" borderId="25" xfId="0" applyNumberFormat="1" applyFont="1" applyFill="1" applyBorder="1" applyAlignment="1">
      <alignment horizontal="right" vertical="center"/>
    </xf>
    <xf numFmtId="165" fontId="10" fillId="12" borderId="30" xfId="0" applyNumberFormat="1" applyFont="1" applyFill="1" applyBorder="1" applyAlignment="1">
      <alignment horizontal="right" vertical="center"/>
    </xf>
    <xf numFmtId="0" fontId="33" fillId="0" borderId="33" xfId="0" applyFont="1" applyBorder="1" applyAlignment="1">
      <alignment horizontal="center" vertical="justify" wrapText="1"/>
    </xf>
    <xf numFmtId="0" fontId="33" fillId="0" borderId="34" xfId="0" applyFont="1" applyBorder="1" applyAlignment="1">
      <alignment horizontal="center" vertical="justify" wrapText="1"/>
    </xf>
    <xf numFmtId="0" fontId="33" fillId="0" borderId="35" xfId="0" applyFont="1" applyBorder="1" applyAlignment="1">
      <alignment horizontal="center" vertical="justify" wrapText="1"/>
    </xf>
    <xf numFmtId="165" fontId="10" fillId="12" borderId="1" xfId="0" applyNumberFormat="1" applyFont="1" applyFill="1" applyBorder="1" applyAlignment="1">
      <alignment horizontal="right" vertical="center"/>
    </xf>
    <xf numFmtId="0" fontId="9" fillId="21" borderId="17" xfId="0" applyFont="1" applyFill="1" applyBorder="1" applyAlignment="1">
      <alignment horizontal="center"/>
    </xf>
    <xf numFmtId="0" fontId="9" fillId="21" borderId="18" xfId="0" applyFont="1" applyFill="1" applyBorder="1" applyAlignment="1">
      <alignment horizontal="center"/>
    </xf>
    <xf numFmtId="0" fontId="33" fillId="12" borderId="33" xfId="0" applyFont="1" applyFill="1" applyBorder="1" applyAlignment="1">
      <alignment horizontal="left" vertical="center" wrapText="1"/>
    </xf>
    <xf numFmtId="0" fontId="33" fillId="12" borderId="34" xfId="0" applyFont="1" applyFill="1" applyBorder="1" applyAlignment="1">
      <alignment horizontal="left" vertical="center" wrapText="1"/>
    </xf>
    <xf numFmtId="0" fontId="33" fillId="12" borderId="35" xfId="0" applyFont="1" applyFill="1" applyBorder="1" applyAlignment="1">
      <alignment horizontal="left" vertical="center" wrapText="1"/>
    </xf>
    <xf numFmtId="165" fontId="10" fillId="12" borderId="33" xfId="0" applyNumberFormat="1" applyFont="1" applyFill="1" applyBorder="1" applyAlignment="1">
      <alignment horizontal="right" vertical="center"/>
    </xf>
    <xf numFmtId="165" fontId="10" fillId="12" borderId="34" xfId="0" applyNumberFormat="1" applyFont="1" applyFill="1" applyBorder="1" applyAlignment="1">
      <alignment horizontal="right" vertical="center"/>
    </xf>
    <xf numFmtId="165" fontId="10" fillId="12" borderId="35" xfId="0" applyNumberFormat="1" applyFont="1" applyFill="1" applyBorder="1" applyAlignment="1">
      <alignment horizontal="right" vertical="center"/>
    </xf>
    <xf numFmtId="0" fontId="33" fillId="12" borderId="29" xfId="0" applyFont="1" applyFill="1" applyBorder="1" applyAlignment="1">
      <alignment horizontal="left" vertical="center" wrapText="1"/>
    </xf>
    <xf numFmtId="0" fontId="33" fillId="12" borderId="25" xfId="0" applyFont="1" applyFill="1" applyBorder="1" applyAlignment="1">
      <alignment horizontal="left" vertical="center" wrapText="1"/>
    </xf>
    <xf numFmtId="0" fontId="33" fillId="12" borderId="30" xfId="0" applyFont="1" applyFill="1" applyBorder="1" applyAlignment="1">
      <alignment horizontal="left" vertical="center" wrapText="1"/>
    </xf>
    <xf numFmtId="0" fontId="34" fillId="12" borderId="1" xfId="0" applyFont="1" applyFill="1" applyBorder="1" applyAlignment="1">
      <alignment horizontal="left" wrapText="1"/>
    </xf>
    <xf numFmtId="0" fontId="34" fillId="12" borderId="0" xfId="0" applyFont="1" applyFill="1" applyAlignment="1">
      <alignment horizontal="left" wrapText="1"/>
    </xf>
    <xf numFmtId="0" fontId="34" fillId="12" borderId="2" xfId="0" applyFont="1" applyFill="1" applyBorder="1" applyAlignment="1">
      <alignment horizontal="left" wrapText="1"/>
    </xf>
    <xf numFmtId="0" fontId="33" fillId="12" borderId="17" xfId="0" applyFont="1" applyFill="1" applyBorder="1" applyAlignment="1">
      <alignment horizontal="left"/>
    </xf>
    <xf numFmtId="0" fontId="33" fillId="12" borderId="18" xfId="0" applyFont="1" applyFill="1" applyBorder="1" applyAlignment="1">
      <alignment horizontal="left"/>
    </xf>
    <xf numFmtId="0" fontId="33" fillId="12" borderId="31" xfId="0" applyFont="1" applyFill="1" applyBorder="1" applyAlignment="1">
      <alignment horizontal="left"/>
    </xf>
    <xf numFmtId="0" fontId="33" fillId="0" borderId="3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165" fontId="9" fillId="12" borderId="17" xfId="1" applyNumberFormat="1" applyFont="1" applyFill="1" applyBorder="1" applyAlignment="1">
      <alignment horizontal="right" vertical="center"/>
    </xf>
    <xf numFmtId="165" fontId="9" fillId="12" borderId="18" xfId="1" applyNumberFormat="1" applyFont="1" applyFill="1" applyBorder="1" applyAlignment="1">
      <alignment horizontal="right" vertical="center"/>
    </xf>
    <xf numFmtId="0" fontId="17" fillId="0" borderId="26" xfId="0" applyFont="1" applyBorder="1" applyAlignment="1">
      <alignment horizontal="center" vertical="center" textRotation="90" wrapText="1"/>
    </xf>
    <xf numFmtId="0" fontId="17" fillId="0" borderId="27" xfId="0" applyFont="1" applyBorder="1" applyAlignment="1">
      <alignment horizontal="center" vertical="center" textRotation="90" wrapText="1"/>
    </xf>
    <xf numFmtId="0" fontId="17" fillId="0" borderId="28" xfId="0" applyFont="1" applyBorder="1" applyAlignment="1">
      <alignment horizontal="center" vertical="center" textRotation="90" wrapText="1"/>
    </xf>
    <xf numFmtId="173" fontId="55" fillId="0" borderId="38" xfId="1" applyNumberFormat="1" applyFont="1" applyBorder="1" applyAlignment="1">
      <alignment horizontal="center" vertical="center"/>
    </xf>
    <xf numFmtId="173" fontId="55" fillId="0" borderId="39" xfId="1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3" fillId="0" borderId="33" xfId="0" applyFont="1" applyBorder="1" applyAlignment="1">
      <alignment horizontal="left" vertical="center"/>
    </xf>
    <xf numFmtId="0" fontId="33" fillId="0" borderId="34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12" fillId="0" borderId="33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168" fontId="10" fillId="0" borderId="33" xfId="1" applyNumberFormat="1" applyFont="1" applyFill="1" applyBorder="1" applyAlignment="1">
      <alignment horizontal="center"/>
    </xf>
    <xf numFmtId="168" fontId="10" fillId="0" borderId="34" xfId="1" applyNumberFormat="1" applyFont="1" applyFill="1" applyBorder="1" applyAlignment="1">
      <alignment horizontal="center"/>
    </xf>
    <xf numFmtId="168" fontId="10" fillId="0" borderId="35" xfId="1" applyNumberFormat="1" applyFont="1" applyFill="1" applyBorder="1" applyAlignment="1">
      <alignment horizontal="center"/>
    </xf>
    <xf numFmtId="165" fontId="9" fillId="12" borderId="31" xfId="1" applyNumberFormat="1" applyFont="1" applyFill="1" applyBorder="1" applyAlignment="1">
      <alignment horizontal="right" vertical="center"/>
    </xf>
    <xf numFmtId="0" fontId="33" fillId="0" borderId="17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left" vertical="center" wrapText="1"/>
    </xf>
    <xf numFmtId="0" fontId="33" fillId="0" borderId="31" xfId="0" applyFont="1" applyBorder="1" applyAlignment="1">
      <alignment horizontal="left" vertical="center" wrapText="1"/>
    </xf>
    <xf numFmtId="0" fontId="142" fillId="21" borderId="29" xfId="0" applyFont="1" applyFill="1" applyBorder="1" applyAlignment="1">
      <alignment horizontal="center" vertical="center" wrapText="1"/>
    </xf>
    <xf numFmtId="0" fontId="142" fillId="21" borderId="25" xfId="0" applyFont="1" applyFill="1" applyBorder="1" applyAlignment="1">
      <alignment horizontal="center" vertical="center" wrapText="1"/>
    </xf>
    <xf numFmtId="0" fontId="142" fillId="21" borderId="30" xfId="0" applyFont="1" applyFill="1" applyBorder="1" applyAlignment="1">
      <alignment horizontal="center" vertical="center" wrapText="1"/>
    </xf>
    <xf numFmtId="0" fontId="142" fillId="21" borderId="17" xfId="0" applyFont="1" applyFill="1" applyBorder="1" applyAlignment="1">
      <alignment horizontal="center" vertical="center" wrapText="1"/>
    </xf>
    <xf numFmtId="0" fontId="142" fillId="21" borderId="18" xfId="0" applyFont="1" applyFill="1" applyBorder="1" applyAlignment="1">
      <alignment horizontal="center" vertical="center" wrapText="1"/>
    </xf>
    <xf numFmtId="0" fontId="142" fillId="21" borderId="31" xfId="0" applyFont="1" applyFill="1" applyBorder="1" applyAlignment="1">
      <alignment horizontal="center" vertical="center" wrapText="1"/>
    </xf>
    <xf numFmtId="0" fontId="16" fillId="42" borderId="29" xfId="0" applyFont="1" applyFill="1" applyBorder="1" applyAlignment="1">
      <alignment horizontal="center" vertical="center" wrapText="1"/>
    </xf>
    <xf numFmtId="0" fontId="16" fillId="42" borderId="25" xfId="0" applyFont="1" applyFill="1" applyBorder="1" applyAlignment="1">
      <alignment horizontal="center" vertical="center" wrapText="1"/>
    </xf>
    <xf numFmtId="0" fontId="16" fillId="42" borderId="30" xfId="0" applyFont="1" applyFill="1" applyBorder="1" applyAlignment="1">
      <alignment horizontal="center" vertical="center" wrapText="1"/>
    </xf>
    <xf numFmtId="0" fontId="16" fillId="42" borderId="17" xfId="0" applyFont="1" applyFill="1" applyBorder="1" applyAlignment="1">
      <alignment horizontal="center" vertical="center" wrapText="1"/>
    </xf>
    <xf numFmtId="0" fontId="16" fillId="42" borderId="18" xfId="0" applyFont="1" applyFill="1" applyBorder="1" applyAlignment="1">
      <alignment horizontal="center" vertical="center" wrapText="1"/>
    </xf>
    <xf numFmtId="0" fontId="16" fillId="42" borderId="31" xfId="0" applyFont="1" applyFill="1" applyBorder="1" applyAlignment="1">
      <alignment horizontal="center" vertical="center" wrapText="1"/>
    </xf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100" fillId="3" borderId="25" xfId="0" applyFont="1" applyFill="1" applyBorder="1" applyAlignment="1">
      <alignment horizontal="center" vertical="center" wrapText="1"/>
    </xf>
    <xf numFmtId="0" fontId="100" fillId="0" borderId="25" xfId="0" applyFont="1" applyBorder="1" applyAlignment="1">
      <alignment horizontal="center" vertical="center" wrapText="1"/>
    </xf>
    <xf numFmtId="0" fontId="100" fillId="0" borderId="18" xfId="0" applyFont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0" xfId="0" applyFont="1" applyBorder="1" applyAlignment="1">
      <alignment horizontal="center"/>
    </xf>
    <xf numFmtId="167" fontId="1" fillId="0" borderId="29" xfId="0" applyNumberFormat="1" applyFont="1" applyBorder="1" applyAlignment="1">
      <alignment horizontal="center"/>
    </xf>
    <xf numFmtId="167" fontId="1" fillId="0" borderId="25" xfId="0" applyNumberFormat="1" applyFont="1" applyBorder="1" applyAlignment="1">
      <alignment horizontal="center"/>
    </xf>
    <xf numFmtId="167" fontId="1" fillId="0" borderId="30" xfId="0" applyNumberFormat="1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127" fillId="0" borderId="47" xfId="0" applyFont="1" applyBorder="1" applyAlignment="1">
      <alignment horizontal="center" vertical="center" wrapText="1"/>
    </xf>
    <xf numFmtId="0" fontId="127" fillId="0" borderId="0" xfId="0" applyFont="1" applyAlignment="1">
      <alignment horizontal="center" vertical="center" wrapText="1"/>
    </xf>
    <xf numFmtId="0" fontId="127" fillId="0" borderId="2" xfId="0" applyFont="1" applyBorder="1" applyAlignment="1">
      <alignment horizontal="center" vertical="center" wrapText="1"/>
    </xf>
    <xf numFmtId="0" fontId="127" fillId="0" borderId="67" xfId="0" applyFont="1" applyBorder="1" applyAlignment="1">
      <alignment horizontal="center" vertical="center" wrapText="1"/>
    </xf>
    <xf numFmtId="0" fontId="127" fillId="0" borderId="18" xfId="0" applyFont="1" applyBorder="1" applyAlignment="1">
      <alignment horizontal="center" vertical="center" wrapText="1"/>
    </xf>
    <xf numFmtId="0" fontId="127" fillId="0" borderId="31" xfId="0" applyFont="1" applyBorder="1" applyAlignment="1">
      <alignment horizontal="center" vertical="center" wrapText="1"/>
    </xf>
    <xf numFmtId="165" fontId="1" fillId="28" borderId="33" xfId="0" applyNumberFormat="1" applyFont="1" applyFill="1" applyBorder="1" applyAlignment="1">
      <alignment horizontal="center"/>
    </xf>
    <xf numFmtId="165" fontId="1" fillId="28" borderId="34" xfId="0" applyNumberFormat="1" applyFont="1" applyFill="1" applyBorder="1" applyAlignment="1">
      <alignment horizontal="center"/>
    </xf>
    <xf numFmtId="165" fontId="1" fillId="28" borderId="35" xfId="0" applyNumberFormat="1" applyFont="1" applyFill="1" applyBorder="1" applyAlignment="1">
      <alignment horizontal="center"/>
    </xf>
    <xf numFmtId="0" fontId="20" fillId="12" borderId="29" xfId="0" applyFont="1" applyFill="1" applyBorder="1" applyAlignment="1">
      <alignment horizontal="left" vertical="center" wrapText="1"/>
    </xf>
    <xf numFmtId="0" fontId="20" fillId="12" borderId="25" xfId="0" applyFont="1" applyFill="1" applyBorder="1" applyAlignment="1">
      <alignment horizontal="left" vertical="center" wrapText="1"/>
    </xf>
    <xf numFmtId="0" fontId="20" fillId="12" borderId="30" xfId="0" applyFont="1" applyFill="1" applyBorder="1" applyAlignment="1">
      <alignment horizontal="left" vertical="center" wrapText="1"/>
    </xf>
    <xf numFmtId="165" fontId="10" fillId="0" borderId="33" xfId="0" applyNumberFormat="1" applyFont="1" applyBorder="1" applyAlignment="1">
      <alignment horizontal="right" vertical="center"/>
    </xf>
    <xf numFmtId="165" fontId="10" fillId="0" borderId="34" xfId="0" applyNumberFormat="1" applyFont="1" applyBorder="1" applyAlignment="1">
      <alignment horizontal="right" vertical="center"/>
    </xf>
    <xf numFmtId="165" fontId="10" fillId="0" borderId="35" xfId="0" applyNumberFormat="1" applyFont="1" applyBorder="1" applyAlignment="1">
      <alignment horizontal="right" vertical="center"/>
    </xf>
    <xf numFmtId="0" fontId="20" fillId="12" borderId="1" xfId="0" applyFont="1" applyFill="1" applyBorder="1" applyAlignment="1">
      <alignment horizontal="left" vertical="center" wrapText="1"/>
    </xf>
    <xf numFmtId="0" fontId="20" fillId="12" borderId="0" xfId="0" applyFont="1" applyFill="1" applyAlignment="1">
      <alignment horizontal="left" vertical="center" wrapText="1"/>
    </xf>
    <xf numFmtId="0" fontId="20" fillId="12" borderId="2" xfId="0" applyFont="1" applyFill="1" applyBorder="1" applyAlignment="1">
      <alignment horizontal="left" vertical="center" wrapText="1"/>
    </xf>
    <xf numFmtId="0" fontId="20" fillId="12" borderId="17" xfId="0" applyFont="1" applyFill="1" applyBorder="1" applyAlignment="1">
      <alignment horizontal="left" vertical="center" wrapText="1"/>
    </xf>
    <xf numFmtId="0" fontId="20" fillId="12" borderId="18" xfId="0" applyFont="1" applyFill="1" applyBorder="1" applyAlignment="1">
      <alignment horizontal="left" vertical="center" wrapText="1"/>
    </xf>
    <xf numFmtId="0" fontId="20" fillId="12" borderId="31" xfId="0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 textRotation="90" wrapText="1"/>
    </xf>
    <xf numFmtId="0" fontId="20" fillId="0" borderId="27" xfId="0" applyFont="1" applyBorder="1" applyAlignment="1">
      <alignment horizontal="center" vertical="center" textRotation="90" wrapText="1"/>
    </xf>
    <xf numFmtId="0" fontId="20" fillId="0" borderId="28" xfId="0" applyFont="1" applyBorder="1" applyAlignment="1">
      <alignment horizontal="center" vertical="center" textRotation="90" wrapText="1"/>
    </xf>
    <xf numFmtId="0" fontId="34" fillId="12" borderId="29" xfId="0" applyFont="1" applyFill="1" applyBorder="1" applyAlignment="1">
      <alignment horizontal="left" wrapText="1"/>
    </xf>
    <xf numFmtId="0" fontId="34" fillId="12" borderId="25" xfId="0" applyFont="1" applyFill="1" applyBorder="1" applyAlignment="1">
      <alignment horizontal="left" wrapText="1"/>
    </xf>
    <xf numFmtId="0" fontId="34" fillId="12" borderId="30" xfId="0" applyFont="1" applyFill="1" applyBorder="1" applyAlignment="1">
      <alignment horizontal="left" wrapText="1"/>
    </xf>
    <xf numFmtId="0" fontId="34" fillId="12" borderId="33" xfId="0" applyFont="1" applyFill="1" applyBorder="1" applyAlignment="1">
      <alignment horizontal="center" vertical="center" wrapText="1"/>
    </xf>
    <xf numFmtId="0" fontId="34" fillId="12" borderId="34" xfId="0" applyFont="1" applyFill="1" applyBorder="1" applyAlignment="1">
      <alignment horizontal="center" vertical="center" wrapText="1"/>
    </xf>
    <xf numFmtId="0" fontId="34" fillId="12" borderId="35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33" fillId="21" borderId="1" xfId="0" applyFont="1" applyFill="1" applyBorder="1" applyAlignment="1">
      <alignment horizontal="left"/>
    </xf>
    <xf numFmtId="0" fontId="33" fillId="21" borderId="0" xfId="0" applyFont="1" applyFill="1" applyAlignment="1">
      <alignment horizontal="left"/>
    </xf>
    <xf numFmtId="0" fontId="103" fillId="21" borderId="25" xfId="0" applyFont="1" applyFill="1" applyBorder="1" applyAlignment="1">
      <alignment horizontal="center"/>
    </xf>
    <xf numFmtId="0" fontId="103" fillId="21" borderId="66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33" fillId="0" borderId="33" xfId="0" applyFont="1" applyBorder="1" applyAlignment="1">
      <alignment horizontal="left" vertical="center" wrapText="1"/>
    </xf>
    <xf numFmtId="0" fontId="33" fillId="0" borderId="34" xfId="0" applyFont="1" applyBorder="1" applyAlignment="1">
      <alignment horizontal="left" vertical="center" wrapText="1"/>
    </xf>
    <xf numFmtId="0" fontId="33" fillId="0" borderId="3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165" fontId="10" fillId="0" borderId="34" xfId="0" applyNumberFormat="1" applyFont="1" applyBorder="1" applyAlignment="1">
      <alignment horizontal="center" vertical="center"/>
    </xf>
    <xf numFmtId="165" fontId="10" fillId="0" borderId="35" xfId="0" applyNumberFormat="1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83" fillId="0" borderId="2" xfId="0" applyFont="1" applyBorder="1" applyAlignment="1">
      <alignment horizontal="center" vertical="center" wrapText="1"/>
    </xf>
    <xf numFmtId="0" fontId="33" fillId="21" borderId="25" xfId="0" applyFont="1" applyFill="1" applyBorder="1" applyAlignment="1">
      <alignment horizontal="left" wrapText="1"/>
    </xf>
    <xf numFmtId="0" fontId="33" fillId="21" borderId="18" xfId="0" applyFont="1" applyFill="1" applyBorder="1" applyAlignment="1">
      <alignment horizontal="left" wrapText="1"/>
    </xf>
    <xf numFmtId="0" fontId="33" fillId="0" borderId="26" xfId="0" applyFont="1" applyBorder="1" applyAlignment="1">
      <alignment horizontal="center" vertical="center" textRotation="90" wrapText="1"/>
    </xf>
    <xf numFmtId="0" fontId="33" fillId="0" borderId="27" xfId="0" applyFont="1" applyBorder="1" applyAlignment="1">
      <alignment horizontal="center" vertical="center" textRotation="90" wrapText="1"/>
    </xf>
    <xf numFmtId="0" fontId="33" fillId="0" borderId="28" xfId="0" applyFont="1" applyBorder="1" applyAlignment="1">
      <alignment horizontal="center" vertical="center" textRotation="90" wrapText="1"/>
    </xf>
    <xf numFmtId="0" fontId="103" fillId="0" borderId="26" xfId="0" applyFont="1" applyBorder="1" applyAlignment="1">
      <alignment horizontal="center" vertical="center" textRotation="90" wrapText="1"/>
    </xf>
    <xf numFmtId="0" fontId="103" fillId="0" borderId="28" xfId="0" applyFont="1" applyBorder="1" applyAlignment="1">
      <alignment horizontal="center" vertical="center" textRotation="90" wrapText="1"/>
    </xf>
    <xf numFmtId="0" fontId="34" fillId="12" borderId="33" xfId="0" applyFont="1" applyFill="1" applyBorder="1" applyAlignment="1">
      <alignment horizontal="left" vertical="center" wrapText="1"/>
    </xf>
    <xf numFmtId="0" fontId="34" fillId="12" borderId="34" xfId="0" applyFont="1" applyFill="1" applyBorder="1" applyAlignment="1">
      <alignment horizontal="left" vertical="center" wrapText="1"/>
    </xf>
    <xf numFmtId="0" fontId="34" fillId="12" borderId="35" xfId="0" applyFont="1" applyFill="1" applyBorder="1" applyAlignment="1">
      <alignment horizontal="left" vertical="center" wrapText="1"/>
    </xf>
    <xf numFmtId="165" fontId="9" fillId="12" borderId="33" xfId="0" applyNumberFormat="1" applyFont="1" applyFill="1" applyBorder="1" applyAlignment="1">
      <alignment horizontal="right" vertical="center"/>
    </xf>
    <xf numFmtId="165" fontId="9" fillId="12" borderId="34" xfId="0" applyNumberFormat="1" applyFont="1" applyFill="1" applyBorder="1" applyAlignment="1">
      <alignment horizontal="right" vertical="center"/>
    </xf>
    <xf numFmtId="165" fontId="9" fillId="12" borderId="35" xfId="0" applyNumberFormat="1" applyFont="1" applyFill="1" applyBorder="1" applyAlignment="1">
      <alignment horizontal="right" vertical="center"/>
    </xf>
    <xf numFmtId="168" fontId="146" fillId="0" borderId="1" xfId="1" applyNumberFormat="1" applyFont="1" applyBorder="1" applyAlignment="1">
      <alignment horizontal="center" vertical="center" wrapText="1"/>
    </xf>
    <xf numFmtId="168" fontId="146" fillId="0" borderId="0" xfId="1" applyNumberFormat="1" applyFont="1" applyBorder="1" applyAlignment="1">
      <alignment horizontal="center" vertical="center" wrapText="1"/>
    </xf>
    <xf numFmtId="168" fontId="146" fillId="0" borderId="2" xfId="1" applyNumberFormat="1" applyFont="1" applyBorder="1" applyAlignment="1">
      <alignment horizontal="center" vertical="center" wrapText="1"/>
    </xf>
    <xf numFmtId="168" fontId="146" fillId="0" borderId="17" xfId="1" applyNumberFormat="1" applyFont="1" applyBorder="1" applyAlignment="1">
      <alignment horizontal="center" vertical="center" wrapText="1"/>
    </xf>
    <xf numFmtId="168" fontId="146" fillId="0" borderId="18" xfId="1" applyNumberFormat="1" applyFont="1" applyBorder="1" applyAlignment="1">
      <alignment horizontal="center" vertical="center" wrapText="1"/>
    </xf>
    <xf numFmtId="168" fontId="146" fillId="0" borderId="31" xfId="1" applyNumberFormat="1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 wrapText="1"/>
    </xf>
    <xf numFmtId="0" fontId="146" fillId="0" borderId="0" xfId="0" applyFont="1" applyAlignment="1">
      <alignment horizontal="center" vertical="center" wrapText="1"/>
    </xf>
    <xf numFmtId="0" fontId="146" fillId="0" borderId="2" xfId="0" applyFont="1" applyBorder="1" applyAlignment="1">
      <alignment horizontal="center" vertical="center" wrapText="1"/>
    </xf>
    <xf numFmtId="0" fontId="103" fillId="12" borderId="33" xfId="0" applyFont="1" applyFill="1" applyBorder="1" applyAlignment="1">
      <alignment horizontal="left" vertical="center" wrapText="1"/>
    </xf>
    <xf numFmtId="0" fontId="103" fillId="12" borderId="34" xfId="0" applyFont="1" applyFill="1" applyBorder="1" applyAlignment="1">
      <alignment horizontal="left" vertical="center" wrapText="1"/>
    </xf>
    <xf numFmtId="0" fontId="103" fillId="12" borderId="35" xfId="0" applyFont="1" applyFill="1" applyBorder="1" applyAlignment="1">
      <alignment horizontal="left" vertical="center" wrapText="1"/>
    </xf>
    <xf numFmtId="0" fontId="115" fillId="40" borderId="0" xfId="0" applyFont="1" applyFill="1" applyAlignment="1">
      <alignment horizontal="center" vertical="center" wrapText="1"/>
    </xf>
    <xf numFmtId="0" fontId="114" fillId="59" borderId="0" xfId="0" applyFont="1" applyFill="1" applyAlignment="1">
      <alignment horizontal="center" vertical="center" wrapText="1"/>
    </xf>
    <xf numFmtId="0" fontId="152" fillId="59" borderId="0" xfId="0" applyFont="1" applyFill="1" applyAlignment="1">
      <alignment horizontal="center" vertical="center"/>
    </xf>
    <xf numFmtId="0" fontId="74" fillId="0" borderId="0" xfId="0" applyFont="1" applyAlignment="1">
      <alignment horizontal="center"/>
    </xf>
    <xf numFmtId="0" fontId="114" fillId="59" borderId="92" xfId="0" applyFont="1" applyFill="1" applyBorder="1" applyAlignment="1">
      <alignment horizontal="center" wrapText="1"/>
    </xf>
    <xf numFmtId="0" fontId="114" fillId="59" borderId="93" xfId="0" applyFont="1" applyFill="1" applyBorder="1" applyAlignment="1">
      <alignment horizontal="center" wrapText="1"/>
    </xf>
    <xf numFmtId="0" fontId="115" fillId="59" borderId="0" xfId="0" applyFont="1" applyFill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14" fillId="59" borderId="46" xfId="0" applyFont="1" applyFill="1" applyBorder="1" applyAlignment="1">
      <alignment horizontal="center" wrapText="1"/>
    </xf>
    <xf numFmtId="0" fontId="114" fillId="59" borderId="43" xfId="0" applyFont="1" applyFill="1" applyBorder="1" applyAlignment="1">
      <alignment horizontal="center" wrapText="1"/>
    </xf>
    <xf numFmtId="0" fontId="114" fillId="59" borderId="44" xfId="0" applyFont="1" applyFill="1" applyBorder="1" applyAlignment="1">
      <alignment horizontal="center" wrapText="1"/>
    </xf>
    <xf numFmtId="0" fontId="114" fillId="59" borderId="47" xfId="0" applyFont="1" applyFill="1" applyBorder="1" applyAlignment="1">
      <alignment horizontal="center" wrapText="1"/>
    </xf>
    <xf numFmtId="0" fontId="114" fillId="59" borderId="0" xfId="0" applyFont="1" applyFill="1" applyAlignment="1">
      <alignment horizontal="center" wrapText="1"/>
    </xf>
    <xf numFmtId="0" fontId="114" fillId="59" borderId="45" xfId="0" applyFont="1" applyFill="1" applyBorder="1" applyAlignment="1">
      <alignment horizontal="center" wrapText="1"/>
    </xf>
    <xf numFmtId="0" fontId="114" fillId="59" borderId="95" xfId="0" applyFont="1" applyFill="1" applyBorder="1" applyAlignment="1">
      <alignment horizontal="center" wrapText="1"/>
    </xf>
    <xf numFmtId="0" fontId="114" fillId="59" borderId="96" xfId="0" applyFont="1" applyFill="1" applyBorder="1" applyAlignment="1">
      <alignment horizontal="center" wrapText="1"/>
    </xf>
    <xf numFmtId="0" fontId="153" fillId="59" borderId="92" xfId="0" applyFont="1" applyFill="1" applyBorder="1" applyAlignment="1">
      <alignment horizontal="center" vertical="center" wrapText="1"/>
    </xf>
    <xf numFmtId="0" fontId="153" fillId="59" borderId="93" xfId="0" applyFont="1" applyFill="1" applyBorder="1" applyAlignment="1">
      <alignment horizontal="center" vertical="center" wrapText="1"/>
    </xf>
    <xf numFmtId="0" fontId="116" fillId="53" borderId="0" xfId="0" applyFont="1" applyFill="1" applyAlignment="1">
      <alignment horizontal="center" vertical="center"/>
    </xf>
    <xf numFmtId="0" fontId="36" fillId="52" borderId="33" xfId="0" applyFont="1" applyFill="1" applyBorder="1" applyAlignment="1">
      <alignment horizontal="center"/>
    </xf>
    <xf numFmtId="0" fontId="36" fillId="52" borderId="34" xfId="0" applyFont="1" applyFill="1" applyBorder="1" applyAlignment="1">
      <alignment horizontal="center"/>
    </xf>
    <xf numFmtId="0" fontId="36" fillId="52" borderId="35" xfId="0" applyFont="1" applyFill="1" applyBorder="1" applyAlignment="1">
      <alignment horizontal="center"/>
    </xf>
    <xf numFmtId="0" fontId="22" fillId="52" borderId="33" xfId="0" applyFont="1" applyFill="1" applyBorder="1" applyAlignment="1">
      <alignment horizontal="center" vertical="center"/>
    </xf>
    <xf numFmtId="0" fontId="22" fillId="52" borderId="34" xfId="0" applyFont="1" applyFill="1" applyBorder="1" applyAlignment="1">
      <alignment horizontal="center" vertical="center"/>
    </xf>
    <xf numFmtId="0" fontId="22" fillId="52" borderId="35" xfId="0" applyFont="1" applyFill="1" applyBorder="1" applyAlignment="1">
      <alignment horizontal="center" vertical="center"/>
    </xf>
    <xf numFmtId="0" fontId="22" fillId="57" borderId="32" xfId="0" applyFont="1" applyFill="1" applyBorder="1" applyAlignment="1" applyProtection="1">
      <alignment horizontal="left"/>
      <protection locked="0"/>
    </xf>
    <xf numFmtId="0" fontId="148" fillId="62" borderId="33" xfId="0" applyFont="1" applyFill="1" applyBorder="1" applyAlignment="1">
      <alignment horizontal="center"/>
    </xf>
    <xf numFmtId="0" fontId="148" fillId="62" borderId="34" xfId="0" applyFont="1" applyFill="1" applyBorder="1" applyAlignment="1">
      <alignment horizontal="center"/>
    </xf>
    <xf numFmtId="0" fontId="148" fillId="62" borderId="35" xfId="0" applyFont="1" applyFill="1" applyBorder="1" applyAlignment="1">
      <alignment horizontal="center"/>
    </xf>
    <xf numFmtId="9" fontId="22" fillId="57" borderId="32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vertical="center" wrapText="1"/>
    </xf>
    <xf numFmtId="165" fontId="0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165" fontId="0" fillId="0" borderId="0" xfId="1" applyNumberFormat="1" applyFont="1" applyAlignment="1">
      <alignment horizontal="right"/>
    </xf>
    <xf numFmtId="0" fontId="10" fillId="0" borderId="0" xfId="0" applyFont="1" applyAlignment="1">
      <alignment horizontal="center"/>
    </xf>
    <xf numFmtId="165" fontId="1" fillId="0" borderId="105" xfId="1" applyNumberFormat="1" applyFont="1" applyBorder="1" applyAlignment="1">
      <alignment horizontal="right"/>
    </xf>
    <xf numFmtId="165" fontId="0" fillId="0" borderId="18" xfId="1" applyNumberFormat="1" applyFon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65" fontId="1" fillId="0" borderId="0" xfId="1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1" fillId="0" borderId="73" xfId="1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65" fontId="0" fillId="0" borderId="0" xfId="1" applyNumberFormat="1" applyFont="1" applyBorder="1" applyAlignment="1">
      <alignment horizontal="right" vertical="center"/>
    </xf>
    <xf numFmtId="165" fontId="0" fillId="0" borderId="18" xfId="1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68" fontId="1" fillId="0" borderId="0" xfId="1" applyNumberFormat="1" applyFont="1" applyAlignment="1">
      <alignment horizontal="center"/>
    </xf>
    <xf numFmtId="0" fontId="154" fillId="38" borderId="0" xfId="0" applyFont="1" applyFill="1" applyAlignment="1">
      <alignment horizontal="right" vertical="center"/>
    </xf>
    <xf numFmtId="0" fontId="155" fillId="61" borderId="55" xfId="0" applyFont="1" applyFill="1" applyBorder="1" applyAlignment="1">
      <alignment horizontal="center" vertical="center" wrapText="1"/>
    </xf>
    <xf numFmtId="0" fontId="155" fillId="61" borderId="50" xfId="0" applyFont="1" applyFill="1" applyBorder="1" applyAlignment="1">
      <alignment horizontal="center" vertical="center" wrapText="1"/>
    </xf>
    <xf numFmtId="0" fontId="155" fillId="61" borderId="56" xfId="0" applyFont="1" applyFill="1" applyBorder="1" applyAlignment="1">
      <alignment horizontal="center" vertical="center" wrapText="1"/>
    </xf>
    <xf numFmtId="0" fontId="155" fillId="61" borderId="57" xfId="0" applyFont="1" applyFill="1" applyBorder="1" applyAlignment="1">
      <alignment horizontal="center" vertical="center" wrapText="1"/>
    </xf>
    <xf numFmtId="0" fontId="155" fillId="61" borderId="0" xfId="0" applyFont="1" applyFill="1" applyAlignment="1">
      <alignment horizontal="center" vertical="center" wrapText="1"/>
    </xf>
    <xf numFmtId="0" fontId="155" fillId="61" borderId="58" xfId="0" applyFont="1" applyFill="1" applyBorder="1" applyAlignment="1">
      <alignment horizontal="center" vertical="center" wrapText="1"/>
    </xf>
    <xf numFmtId="0" fontId="155" fillId="61" borderId="59" xfId="0" applyFont="1" applyFill="1" applyBorder="1" applyAlignment="1">
      <alignment horizontal="center" vertical="center" wrapText="1"/>
    </xf>
    <xf numFmtId="0" fontId="155" fillId="61" borderId="60" xfId="0" applyFont="1" applyFill="1" applyBorder="1" applyAlignment="1">
      <alignment horizontal="center" vertical="center" wrapText="1"/>
    </xf>
    <xf numFmtId="0" fontId="155" fillId="61" borderId="61" xfId="0" applyFont="1" applyFill="1" applyBorder="1" applyAlignment="1">
      <alignment horizontal="center" vertical="center" wrapText="1"/>
    </xf>
  </cellXfs>
  <cellStyles count="5">
    <cellStyle name="Hipervínculo" xfId="3" builtinId="8"/>
    <cellStyle name="Millares" xfId="1" builtinId="3"/>
    <cellStyle name="Moneda" xfId="4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  <color rgb="FFFFFF99"/>
      <color rgb="FF8C8C8C"/>
      <color rgb="FFFFFF66"/>
      <color rgb="FFF4F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tos!A1"/><Relationship Id="rId13" Type="http://schemas.openxmlformats.org/officeDocument/2006/relationships/image" Target="../media/image2.png"/><Relationship Id="rId3" Type="http://schemas.openxmlformats.org/officeDocument/2006/relationships/hyperlink" Target="#'Anexo CONTADOR'!A1"/><Relationship Id="rId7" Type="http://schemas.openxmlformats.org/officeDocument/2006/relationships/hyperlink" Target="#Rentas!A1"/><Relationship Id="rId12" Type="http://schemas.openxmlformats.org/officeDocument/2006/relationships/hyperlink" Target="#'Estadistica patrimonial'!A1"/><Relationship Id="rId2" Type="http://schemas.openxmlformats.org/officeDocument/2006/relationships/hyperlink" Target="#Presentaci&#243;n!A1"/><Relationship Id="rId1" Type="http://schemas.openxmlformats.org/officeDocument/2006/relationships/image" Target="../media/image1.jpg"/><Relationship Id="rId6" Type="http://schemas.openxmlformats.org/officeDocument/2006/relationships/hyperlink" Target="#'Rtas Especiales'!A1"/><Relationship Id="rId11" Type="http://schemas.openxmlformats.org/officeDocument/2006/relationships/hyperlink" Target="#CIUU!A1"/><Relationship Id="rId5" Type="http://schemas.openxmlformats.org/officeDocument/2006/relationships/hyperlink" Target="#N&#243;mina!A1"/><Relationship Id="rId10" Type="http://schemas.openxmlformats.org/officeDocument/2006/relationships/hyperlink" Target="#Vencimientos!A1"/><Relationship Id="rId4" Type="http://schemas.openxmlformats.org/officeDocument/2006/relationships/hyperlink" Target="#Patrimonio!A1"/><Relationship Id="rId9" Type="http://schemas.openxmlformats.org/officeDocument/2006/relationships/hyperlink" Target="#'DR 210 Borrador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hyperlink" Target="#Portada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Patrimonio!A1"/><Relationship Id="rId1" Type="http://schemas.openxmlformats.org/officeDocument/2006/relationships/hyperlink" Target="#Portada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17.png"/><Relationship Id="rId7" Type="http://schemas.openxmlformats.org/officeDocument/2006/relationships/hyperlink" Target="#Portada!A1"/><Relationship Id="rId2" Type="http://schemas.openxmlformats.org/officeDocument/2006/relationships/image" Target="../media/image17.svg"/><Relationship Id="rId1" Type="http://schemas.openxmlformats.org/officeDocument/2006/relationships/image" Target="../media/image16.png"/><Relationship Id="rId6" Type="http://schemas.openxmlformats.org/officeDocument/2006/relationships/image" Target="../media/image21.svg"/><Relationship Id="rId5" Type="http://schemas.openxmlformats.org/officeDocument/2006/relationships/image" Target="../media/image18.png"/><Relationship Id="rId10" Type="http://schemas.openxmlformats.org/officeDocument/2006/relationships/image" Target="../media/image19.jpg"/><Relationship Id="rId4" Type="http://schemas.openxmlformats.org/officeDocument/2006/relationships/image" Target="../media/image19.svg"/><Relationship Id="rId9" Type="http://schemas.openxmlformats.org/officeDocument/2006/relationships/hyperlink" Target="#Rentas!H124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hyperlink" Target="#Portada!A1"/><Relationship Id="rId1" Type="http://schemas.openxmlformats.org/officeDocument/2006/relationships/image" Target="../media/image20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hyperlink" Target="#Portad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ortada!A1"/><Relationship Id="rId2" Type="http://schemas.openxmlformats.org/officeDocument/2006/relationships/image" Target="../media/image4.jpg"/><Relationship Id="rId1" Type="http://schemas.openxmlformats.org/officeDocument/2006/relationships/image" Target="../media/image3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eg"/><Relationship Id="rId1" Type="http://schemas.openxmlformats.org/officeDocument/2006/relationships/hyperlink" Target="#Portada!A1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hyperlink" Target="#Portada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hyperlink" Target="#Portada!A1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hyperlink" Target="#Portada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hyperlink" Target="#Portada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exo CONTADOR'!R139"/><Relationship Id="rId2" Type="http://schemas.openxmlformats.org/officeDocument/2006/relationships/image" Target="../media/image14.jpeg"/><Relationship Id="rId1" Type="http://schemas.openxmlformats.org/officeDocument/2006/relationships/hyperlink" Target="#Portada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169333</xdr:colOff>
      <xdr:row>10</xdr:row>
      <xdr:rowOff>74083</xdr:rowOff>
    </xdr:from>
    <xdr:to>
      <xdr:col>10</xdr:col>
      <xdr:colOff>560917</xdr:colOff>
      <xdr:row>41</xdr:row>
      <xdr:rowOff>74083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1583" y="2444750"/>
          <a:ext cx="6487584" cy="492125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11</xdr:col>
      <xdr:colOff>74082</xdr:colOff>
      <xdr:row>2</xdr:row>
      <xdr:rowOff>16935</xdr:rowOff>
    </xdr:from>
    <xdr:to>
      <xdr:col>11</xdr:col>
      <xdr:colOff>1650999</xdr:colOff>
      <xdr:row>24</xdr:row>
      <xdr:rowOff>63500</xdr:rowOff>
    </xdr:to>
    <xdr:sp macro="" textlink="">
      <xdr:nvSpPr>
        <xdr:cNvPr id="73" name="Rectángulo redondeado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9694332" y="334435"/>
          <a:ext cx="1576917" cy="4322232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es-CO" sz="1400" b="1">
              <a:solidFill>
                <a:schemeClr val="bg1"/>
              </a:solidFill>
            </a:rPr>
            <a:t>Herramienta para</a:t>
          </a:r>
        </a:p>
        <a:p>
          <a:pPr algn="ctr"/>
          <a:r>
            <a:rPr lang="es-CO" sz="1400" b="1">
              <a:solidFill>
                <a:schemeClr val="bg1"/>
              </a:solidFill>
            </a:rPr>
            <a:t> diligenciamiento Formulario 210 </a:t>
          </a:r>
        </a:p>
        <a:p>
          <a:pPr algn="ctr"/>
          <a:endParaRPr lang="es-CO" sz="1400" b="1">
            <a:solidFill>
              <a:schemeClr val="bg1"/>
            </a:solidFill>
          </a:endParaRPr>
        </a:p>
        <a:p>
          <a:pPr algn="ctr"/>
          <a:r>
            <a:rPr lang="es-CO" sz="1800" b="1">
              <a:solidFill>
                <a:schemeClr val="bg1"/>
              </a:solidFill>
            </a:rPr>
            <a:t>DIAN </a:t>
          </a:r>
        </a:p>
        <a:p>
          <a:pPr algn="ctr"/>
          <a:endParaRPr lang="es-CO" sz="1400" b="1">
            <a:solidFill>
              <a:schemeClr val="bg1"/>
            </a:solidFill>
          </a:endParaRPr>
        </a:p>
        <a:p>
          <a:pPr algn="ctr"/>
          <a:r>
            <a:rPr lang="es-CO" sz="1400" b="1">
              <a:solidFill>
                <a:schemeClr val="bg1"/>
              </a:solidFill>
            </a:rPr>
            <a:t>Declaraciones de Renta Personas Naturales año Gravable 2025</a:t>
          </a:r>
        </a:p>
      </xdr:txBody>
    </xdr:sp>
    <xdr:clientData/>
  </xdr:twoCellAnchor>
  <xdr:twoCellAnchor>
    <xdr:from>
      <xdr:col>1</xdr:col>
      <xdr:colOff>194734</xdr:colOff>
      <xdr:row>21</xdr:row>
      <xdr:rowOff>10575</xdr:rowOff>
    </xdr:from>
    <xdr:to>
      <xdr:col>1</xdr:col>
      <xdr:colOff>1584325</xdr:colOff>
      <xdr:row>23</xdr:row>
      <xdr:rowOff>4225</xdr:rowOff>
    </xdr:to>
    <xdr:sp macro="" textlink="">
      <xdr:nvSpPr>
        <xdr:cNvPr id="74" name="Rectángulo redondeado 7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1242484" y="4127492"/>
          <a:ext cx="1389591" cy="31115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Presentación</a:t>
          </a:r>
        </a:p>
      </xdr:txBody>
    </xdr:sp>
    <xdr:clientData/>
  </xdr:twoCellAnchor>
  <xdr:twoCellAnchor>
    <xdr:from>
      <xdr:col>1</xdr:col>
      <xdr:colOff>204259</xdr:colOff>
      <xdr:row>36</xdr:row>
      <xdr:rowOff>16934</xdr:rowOff>
    </xdr:from>
    <xdr:to>
      <xdr:col>1</xdr:col>
      <xdr:colOff>1537759</xdr:colOff>
      <xdr:row>38</xdr:row>
      <xdr:rowOff>156634</xdr:rowOff>
    </xdr:to>
    <xdr:sp macro="" textlink="">
      <xdr:nvSpPr>
        <xdr:cNvPr id="76" name="Rectángulo redondeado 7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1252009" y="6515101"/>
          <a:ext cx="1333500" cy="4572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Anexo Contador</a:t>
          </a:r>
        </a:p>
      </xdr:txBody>
    </xdr:sp>
    <xdr:clientData/>
  </xdr:twoCellAnchor>
  <xdr:twoCellAnchor>
    <xdr:from>
      <xdr:col>11</xdr:col>
      <xdr:colOff>150283</xdr:colOff>
      <xdr:row>41</xdr:row>
      <xdr:rowOff>30692</xdr:rowOff>
    </xdr:from>
    <xdr:to>
      <xdr:col>11</xdr:col>
      <xdr:colOff>1550458</xdr:colOff>
      <xdr:row>43</xdr:row>
      <xdr:rowOff>21167</xdr:rowOff>
    </xdr:to>
    <xdr:sp macro="" textlink="">
      <xdr:nvSpPr>
        <xdr:cNvPr id="77" name="Rectángulo redondeado 7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9770533" y="7322609"/>
          <a:ext cx="1400175" cy="3079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Patrimonio</a:t>
          </a:r>
        </a:p>
      </xdr:txBody>
    </xdr:sp>
    <xdr:clientData/>
  </xdr:twoCellAnchor>
  <xdr:twoCellAnchor>
    <xdr:from>
      <xdr:col>11</xdr:col>
      <xdr:colOff>140757</xdr:colOff>
      <xdr:row>37</xdr:row>
      <xdr:rowOff>59266</xdr:rowOff>
    </xdr:from>
    <xdr:to>
      <xdr:col>11</xdr:col>
      <xdr:colOff>1550458</xdr:colOff>
      <xdr:row>39</xdr:row>
      <xdr:rowOff>49741</xdr:rowOff>
    </xdr:to>
    <xdr:sp macro="" textlink="">
      <xdr:nvSpPr>
        <xdr:cNvPr id="78" name="Rectángulo redondeado 7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9761007" y="6716183"/>
          <a:ext cx="1409701" cy="307975"/>
        </a:xfrm>
        <a:prstGeom prst="roundRect">
          <a:avLst>
            <a:gd name="adj" fmla="val 9794"/>
          </a:avLst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Información Laboral</a:t>
          </a:r>
        </a:p>
      </xdr:txBody>
    </xdr:sp>
    <xdr:clientData/>
  </xdr:twoCellAnchor>
  <xdr:twoCellAnchor>
    <xdr:from>
      <xdr:col>11</xdr:col>
      <xdr:colOff>140759</xdr:colOff>
      <xdr:row>33</xdr:row>
      <xdr:rowOff>97367</xdr:rowOff>
    </xdr:from>
    <xdr:to>
      <xdr:col>11</xdr:col>
      <xdr:colOff>1540934</xdr:colOff>
      <xdr:row>35</xdr:row>
      <xdr:rowOff>87842</xdr:rowOff>
    </xdr:to>
    <xdr:sp macro="" textlink="">
      <xdr:nvSpPr>
        <xdr:cNvPr id="79" name="Rectángulo redondeado 7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9761009" y="6119284"/>
          <a:ext cx="1400175" cy="3079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Rentas Especiales</a:t>
          </a:r>
        </a:p>
      </xdr:txBody>
    </xdr:sp>
    <xdr:clientData/>
  </xdr:twoCellAnchor>
  <xdr:twoCellAnchor>
    <xdr:from>
      <xdr:col>11</xdr:col>
      <xdr:colOff>158750</xdr:colOff>
      <xdr:row>29</xdr:row>
      <xdr:rowOff>114301</xdr:rowOff>
    </xdr:from>
    <xdr:to>
      <xdr:col>11</xdr:col>
      <xdr:colOff>1530350</xdr:colOff>
      <xdr:row>31</xdr:row>
      <xdr:rowOff>104776</xdr:rowOff>
    </xdr:to>
    <xdr:sp macro="" textlink="">
      <xdr:nvSpPr>
        <xdr:cNvPr id="80" name="Rectángulo redondeado 7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9779000" y="5501218"/>
          <a:ext cx="1371600" cy="3079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R e n t a</a:t>
          </a:r>
        </a:p>
      </xdr:txBody>
    </xdr:sp>
    <xdr:clientData/>
  </xdr:twoCellAnchor>
  <xdr:twoCellAnchor>
    <xdr:from>
      <xdr:col>11</xdr:col>
      <xdr:colOff>150282</xdr:colOff>
      <xdr:row>25</xdr:row>
      <xdr:rowOff>134409</xdr:rowOff>
    </xdr:from>
    <xdr:to>
      <xdr:col>11</xdr:col>
      <xdr:colOff>1540933</xdr:colOff>
      <xdr:row>27</xdr:row>
      <xdr:rowOff>124884</xdr:rowOff>
    </xdr:to>
    <xdr:sp macro="" textlink="">
      <xdr:nvSpPr>
        <xdr:cNvPr id="81" name="Rectángulo redondeado 8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9770532" y="4886326"/>
          <a:ext cx="1390651" cy="3079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Datos Generales</a:t>
          </a:r>
        </a:p>
      </xdr:txBody>
    </xdr:sp>
    <xdr:clientData/>
  </xdr:twoCellAnchor>
  <xdr:twoCellAnchor>
    <xdr:from>
      <xdr:col>1</xdr:col>
      <xdr:colOff>161925</xdr:colOff>
      <xdr:row>32</xdr:row>
      <xdr:rowOff>68792</xdr:rowOff>
    </xdr:from>
    <xdr:to>
      <xdr:col>1</xdr:col>
      <xdr:colOff>1587500</xdr:colOff>
      <xdr:row>34</xdr:row>
      <xdr:rowOff>59267</xdr:rowOff>
    </xdr:to>
    <xdr:sp macro="" textlink="">
      <xdr:nvSpPr>
        <xdr:cNvPr id="82" name="Rectángulo redondeado 8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1209675" y="5931959"/>
          <a:ext cx="1425575" cy="3079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Borrador For 210</a:t>
          </a:r>
        </a:p>
      </xdr:txBody>
    </xdr:sp>
    <xdr:clientData/>
  </xdr:twoCellAnchor>
  <xdr:twoCellAnchor>
    <xdr:from>
      <xdr:col>1</xdr:col>
      <xdr:colOff>193675</xdr:colOff>
      <xdr:row>28</xdr:row>
      <xdr:rowOff>111124</xdr:rowOff>
    </xdr:from>
    <xdr:to>
      <xdr:col>1</xdr:col>
      <xdr:colOff>1608667</xdr:colOff>
      <xdr:row>30</xdr:row>
      <xdr:rowOff>101599</xdr:rowOff>
    </xdr:to>
    <xdr:sp macro="" textlink="">
      <xdr:nvSpPr>
        <xdr:cNvPr id="83" name="Rectángulo redondeado 8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1241425" y="5339291"/>
          <a:ext cx="1414992" cy="3079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Vencimientos</a:t>
          </a:r>
        </a:p>
      </xdr:txBody>
    </xdr:sp>
    <xdr:clientData/>
  </xdr:twoCellAnchor>
  <xdr:twoCellAnchor>
    <xdr:from>
      <xdr:col>1</xdr:col>
      <xdr:colOff>194734</xdr:colOff>
      <xdr:row>24</xdr:row>
      <xdr:rowOff>139700</xdr:rowOff>
    </xdr:from>
    <xdr:to>
      <xdr:col>1</xdr:col>
      <xdr:colOff>1608667</xdr:colOff>
      <xdr:row>26</xdr:row>
      <xdr:rowOff>130175</xdr:rowOff>
    </xdr:to>
    <xdr:sp macro="" textlink="">
      <xdr:nvSpPr>
        <xdr:cNvPr id="84" name="Rectángulo redondeado 8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1242484" y="4732867"/>
          <a:ext cx="1413933" cy="3079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C  I  U  U</a:t>
          </a:r>
        </a:p>
      </xdr:txBody>
    </xdr:sp>
    <xdr:clientData/>
  </xdr:twoCellAnchor>
  <xdr:twoCellAnchor>
    <xdr:from>
      <xdr:col>1</xdr:col>
      <xdr:colOff>201083</xdr:colOff>
      <xdr:row>40</xdr:row>
      <xdr:rowOff>47625</xdr:rowOff>
    </xdr:from>
    <xdr:to>
      <xdr:col>1</xdr:col>
      <xdr:colOff>1513416</xdr:colOff>
      <xdr:row>42</xdr:row>
      <xdr:rowOff>127000</xdr:rowOff>
    </xdr:to>
    <xdr:sp macro="" textlink="">
      <xdr:nvSpPr>
        <xdr:cNvPr id="85" name="Rectángulo redondeado 8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1248833" y="7180792"/>
          <a:ext cx="1312333" cy="39687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200" b="1">
              <a:solidFill>
                <a:schemeClr val="bg1"/>
              </a:solidFill>
            </a:rPr>
            <a:t>Patrimonio</a:t>
          </a:r>
          <a:r>
            <a:rPr lang="es-CO" sz="1200" b="1" baseline="0">
              <a:solidFill>
                <a:schemeClr val="bg1"/>
              </a:solidFill>
            </a:rPr>
            <a:t> Bruto</a:t>
          </a:r>
          <a:endParaRPr lang="es-CO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149224</xdr:colOff>
      <xdr:row>8</xdr:row>
      <xdr:rowOff>74083</xdr:rowOff>
    </xdr:from>
    <xdr:to>
      <xdr:col>1</xdr:col>
      <xdr:colOff>1598082</xdr:colOff>
      <xdr:row>18</xdr:row>
      <xdr:rowOff>158748</xdr:rowOff>
    </xdr:to>
    <xdr:sp macro="" textlink="">
      <xdr:nvSpPr>
        <xdr:cNvPr id="86" name="Redondear rectángulo de esquina diagonal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1196974" y="2127250"/>
          <a:ext cx="1448858" cy="1672165"/>
        </a:xfrm>
        <a:prstGeom prst="round2Diag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 i="0">
              <a:latin typeface="Arial Narrow" panose="020B0606020202030204" pitchFamily="34" charset="0"/>
            </a:rPr>
            <a:t>FOR 210 DR 2025 versión</a:t>
          </a:r>
          <a:r>
            <a:rPr lang="es-CO" sz="1600" b="1" i="0" baseline="0">
              <a:latin typeface="Arial Narrow" panose="020B0606020202030204" pitchFamily="34" charset="0"/>
            </a:rPr>
            <a:t> 26-003</a:t>
          </a:r>
          <a:endParaRPr lang="es-CO" sz="1600" b="1" i="0">
            <a:latin typeface="Baskerville Old Face" panose="02020602080505020303" pitchFamily="18" charset="0"/>
          </a:endParaRPr>
        </a:p>
      </xdr:txBody>
    </xdr:sp>
    <xdr:clientData/>
  </xdr:twoCellAnchor>
  <xdr:twoCellAnchor editAs="oneCell">
    <xdr:from>
      <xdr:col>1</xdr:col>
      <xdr:colOff>264586</xdr:colOff>
      <xdr:row>1</xdr:row>
      <xdr:rowOff>105834</xdr:rowOff>
    </xdr:from>
    <xdr:to>
      <xdr:col>1</xdr:col>
      <xdr:colOff>1345362</xdr:colOff>
      <xdr:row>7</xdr:row>
      <xdr:rowOff>84667</xdr:rowOff>
    </xdr:to>
    <xdr:pic>
      <xdr:nvPicPr>
        <xdr:cNvPr id="87" name="Picture 8" descr="OCT nueva">
          <a:extLst>
            <a:ext uri="{FF2B5EF4-FFF2-40B4-BE49-F238E27FC236}">
              <a16:creationId xmlns:a16="http://schemas.microsoft.com/office/drawing/2014/main" id="{00000000-0008-0000-02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312336" y="264584"/>
          <a:ext cx="1080776" cy="1280583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538162</xdr:colOff>
      <xdr:row>1</xdr:row>
      <xdr:rowOff>52388</xdr:rowOff>
    </xdr:from>
    <xdr:to>
      <xdr:col>10</xdr:col>
      <xdr:colOff>45433</xdr:colOff>
      <xdr:row>3</xdr:row>
      <xdr:rowOff>119063</xdr:rowOff>
    </xdr:to>
    <xdr:pic>
      <xdr:nvPicPr>
        <xdr:cNvPr id="2" name="Imagen 1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475" y="211138"/>
          <a:ext cx="356583" cy="415925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173182</xdr:colOff>
      <xdr:row>0</xdr:row>
      <xdr:rowOff>138545</xdr:rowOff>
    </xdr:from>
    <xdr:to>
      <xdr:col>13</xdr:col>
      <xdr:colOff>595854</xdr:colOff>
      <xdr:row>3</xdr:row>
      <xdr:rowOff>69272</xdr:rowOff>
    </xdr:to>
    <xdr:sp macro="" textlink="">
      <xdr:nvSpPr>
        <xdr:cNvPr id="4" name="Flecha a la derecha con ban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 bwMode="auto">
        <a:xfrm rot="10800000">
          <a:off x="6812107" y="138545"/>
          <a:ext cx="422672" cy="416502"/>
        </a:xfrm>
        <a:prstGeom prst="stripedRightArrow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lang="es-CO" sz="800" b="1"/>
            <a:t>Inicio</a:t>
          </a:r>
        </a:p>
      </xdr:txBody>
    </xdr:sp>
    <xdr:clientData/>
  </xdr:twoCellAnchor>
  <xdr:twoCellAnchor>
    <xdr:from>
      <xdr:col>13</xdr:col>
      <xdr:colOff>147205</xdr:colOff>
      <xdr:row>34</xdr:row>
      <xdr:rowOff>129886</xdr:rowOff>
    </xdr:from>
    <xdr:to>
      <xdr:col>13</xdr:col>
      <xdr:colOff>800347</xdr:colOff>
      <xdr:row>39</xdr:row>
      <xdr:rowOff>23193</xdr:rowOff>
    </xdr:to>
    <xdr:sp macro="" textlink="">
      <xdr:nvSpPr>
        <xdr:cNvPr id="5" name="Flecha a la derecha con banda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 bwMode="auto">
        <a:xfrm>
          <a:off x="6786130" y="6092536"/>
          <a:ext cx="653142" cy="702932"/>
        </a:xfrm>
        <a:prstGeom prst="stripedRightArrow">
          <a:avLst>
            <a:gd name="adj1" fmla="val 50000"/>
            <a:gd name="adj2" fmla="val 68182"/>
          </a:avLst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="1"/>
            <a:t>Siguiente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21167</xdr:colOff>
      <xdr:row>10</xdr:row>
      <xdr:rowOff>71815</xdr:rowOff>
    </xdr:from>
    <xdr:to>
      <xdr:col>11</xdr:col>
      <xdr:colOff>308428</xdr:colOff>
      <xdr:row>12</xdr:row>
      <xdr:rowOff>72723</xdr:rowOff>
    </xdr:to>
    <xdr:pic>
      <xdr:nvPicPr>
        <xdr:cNvPr id="2" name="Gráfico 2" descr="Cara sonriente sin relleno">
          <a:extLst>
            <a:ext uri="{FF2B5EF4-FFF2-40B4-BE49-F238E27FC236}">
              <a16:creationId xmlns:a16="http://schemas.microsoft.com/office/drawing/2014/main" id="{78165C8F-055D-4E8C-A310-3842179B3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6699250" y="1712232"/>
          <a:ext cx="287261" cy="307824"/>
        </a:xfrm>
        <a:prstGeom prst="rect">
          <a:avLst/>
        </a:prstGeom>
      </xdr:spPr>
    </xdr:pic>
    <xdr:clientData/>
  </xdr:twoCellAnchor>
  <xdr:twoCellAnchor editAs="oneCell">
    <xdr:from>
      <xdr:col>10</xdr:col>
      <xdr:colOff>93360</xdr:colOff>
      <xdr:row>1</xdr:row>
      <xdr:rowOff>161017</xdr:rowOff>
    </xdr:from>
    <xdr:to>
      <xdr:col>12</xdr:col>
      <xdr:colOff>161396</xdr:colOff>
      <xdr:row>5</xdr:row>
      <xdr:rowOff>111145</xdr:rowOff>
    </xdr:to>
    <xdr:pic>
      <xdr:nvPicPr>
        <xdr:cNvPr id="3" name="Gráfico 4" descr="Lápiz">
          <a:extLst>
            <a:ext uri="{FF2B5EF4-FFF2-40B4-BE49-F238E27FC236}">
              <a16:creationId xmlns:a16="http://schemas.microsoft.com/office/drawing/2014/main" id="{A14CDF96-1D63-4C1F-9F87-D84BEF4CE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6580943" y="351517"/>
          <a:ext cx="576036" cy="617840"/>
        </a:xfrm>
        <a:prstGeom prst="rect">
          <a:avLst/>
        </a:prstGeom>
      </xdr:spPr>
    </xdr:pic>
    <xdr:clientData/>
  </xdr:twoCellAnchor>
  <xdr:twoCellAnchor editAs="oneCell">
    <xdr:from>
      <xdr:col>15</xdr:col>
      <xdr:colOff>268739</xdr:colOff>
      <xdr:row>6</xdr:row>
      <xdr:rowOff>43769</xdr:rowOff>
    </xdr:from>
    <xdr:to>
      <xdr:col>15</xdr:col>
      <xdr:colOff>735238</xdr:colOff>
      <xdr:row>10</xdr:row>
      <xdr:rowOff>514</xdr:rowOff>
    </xdr:to>
    <xdr:pic>
      <xdr:nvPicPr>
        <xdr:cNvPr id="4" name="Gráfico 5" descr="Mano con dedo índice apuntando a la derecha">
          <a:extLst>
            <a:ext uri="{FF2B5EF4-FFF2-40B4-BE49-F238E27FC236}">
              <a16:creationId xmlns:a16="http://schemas.microsoft.com/office/drawing/2014/main" id="{D27D01D8-1827-4766-A69F-6EBD19600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 rot="6750155">
          <a:off x="8331086" y="1049222"/>
          <a:ext cx="496205" cy="466499"/>
        </a:xfrm>
        <a:prstGeom prst="rect">
          <a:avLst/>
        </a:prstGeom>
      </xdr:spPr>
    </xdr:pic>
    <xdr:clientData/>
  </xdr:twoCellAnchor>
  <xdr:twoCellAnchor editAs="oneCell">
    <xdr:from>
      <xdr:col>1</xdr:col>
      <xdr:colOff>147412</xdr:colOff>
      <xdr:row>3</xdr:row>
      <xdr:rowOff>139474</xdr:rowOff>
    </xdr:from>
    <xdr:to>
      <xdr:col>2</xdr:col>
      <xdr:colOff>204107</xdr:colOff>
      <xdr:row>9</xdr:row>
      <xdr:rowOff>35119</xdr:rowOff>
    </xdr:to>
    <xdr:pic>
      <xdr:nvPicPr>
        <xdr:cNvPr id="5" name="Imagen 4" descr="&lt;strong&gt;Libro&lt;/strong&gt; de Clases 1º a 8º EB 16 Asignaturas - Tienda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387" y="634774"/>
          <a:ext cx="574220" cy="714602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>
    <xdr:from>
      <xdr:col>21</xdr:col>
      <xdr:colOff>95250</xdr:colOff>
      <xdr:row>136</xdr:row>
      <xdr:rowOff>150813</xdr:rowOff>
    </xdr:from>
    <xdr:to>
      <xdr:col>21</xdr:col>
      <xdr:colOff>706437</xdr:colOff>
      <xdr:row>138</xdr:row>
      <xdr:rowOff>190500</xdr:rowOff>
    </xdr:to>
    <xdr:sp macro="" textlink="">
      <xdr:nvSpPr>
        <xdr:cNvPr id="6" name="Rectángulo redondeado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 bwMode="auto">
        <a:xfrm>
          <a:off x="11163300" y="25525413"/>
          <a:ext cx="611187" cy="420687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CO" sz="1100" b="1"/>
            <a:t>Regresar a Rentas</a:t>
          </a:r>
        </a:p>
      </xdr:txBody>
    </xdr:sp>
    <xdr:clientData/>
  </xdr:twoCellAnchor>
  <xdr:twoCellAnchor editAs="oneCell">
    <xdr:from>
      <xdr:col>13</xdr:col>
      <xdr:colOff>1023936</xdr:colOff>
      <xdr:row>196</xdr:row>
      <xdr:rowOff>134936</xdr:rowOff>
    </xdr:from>
    <xdr:to>
      <xdr:col>19</xdr:col>
      <xdr:colOff>407986</xdr:colOff>
      <xdr:row>204</xdr:row>
      <xdr:rowOff>730066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3552">
          <a:off x="8191499" y="33329561"/>
          <a:ext cx="2559050" cy="246044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121227</xdr:colOff>
      <xdr:row>1</xdr:row>
      <xdr:rowOff>77933</xdr:rowOff>
    </xdr:from>
    <xdr:to>
      <xdr:col>6</xdr:col>
      <xdr:colOff>138545</xdr:colOff>
      <xdr:row>2</xdr:row>
      <xdr:rowOff>406977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6087E1-B8BC-467C-B250-AABCA63F3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795" y="155865"/>
          <a:ext cx="1333500" cy="493567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 editAs="oneCell">
    <xdr:from>
      <xdr:col>31</xdr:col>
      <xdr:colOff>112569</xdr:colOff>
      <xdr:row>3</xdr:row>
      <xdr:rowOff>25977</xdr:rowOff>
    </xdr:from>
    <xdr:to>
      <xdr:col>32</xdr:col>
      <xdr:colOff>233798</xdr:colOff>
      <xdr:row>4</xdr:row>
      <xdr:rowOff>135146</xdr:rowOff>
    </xdr:to>
    <xdr:pic>
      <xdr:nvPicPr>
        <xdr:cNvPr id="4" name="Imagen 3" descr="&lt;strong&gt;Libro&lt;/strong&gt; de Clases 1º a 8º EB 16 Asignaturas - Tien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8433" y="744682"/>
          <a:ext cx="372342" cy="273691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419100</xdr:colOff>
      <xdr:row>2</xdr:row>
      <xdr:rowOff>76200</xdr:rowOff>
    </xdr:from>
    <xdr:to>
      <xdr:col>21</xdr:col>
      <xdr:colOff>800100</xdr:colOff>
      <xdr:row>6</xdr:row>
      <xdr:rowOff>34925</xdr:rowOff>
    </xdr:to>
    <xdr:pic>
      <xdr:nvPicPr>
        <xdr:cNvPr id="2" name="Imagen 1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400050"/>
          <a:ext cx="381000" cy="4826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>
    <xdr:from>
      <xdr:col>17</xdr:col>
      <xdr:colOff>200025</xdr:colOff>
      <xdr:row>6</xdr:row>
      <xdr:rowOff>76200</xdr:rowOff>
    </xdr:from>
    <xdr:to>
      <xdr:col>17</xdr:col>
      <xdr:colOff>504825</xdr:colOff>
      <xdr:row>8</xdr:row>
      <xdr:rowOff>66675</xdr:rowOff>
    </xdr:to>
    <xdr:sp macro="" textlink="">
      <xdr:nvSpPr>
        <xdr:cNvPr id="3" name="Llamada rectangular redondeada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 bwMode="auto">
        <a:xfrm>
          <a:off x="8143875" y="923925"/>
          <a:ext cx="304800" cy="219075"/>
        </a:xfrm>
        <a:prstGeom prst="wedgeRoundRectCallout">
          <a:avLst>
            <a:gd name="adj1" fmla="val -12358"/>
            <a:gd name="adj2" fmla="val 124038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600" b="1" i="0" u="none" strike="noStrike" kern="0" cap="none" spc="0" normalizeH="0" baseline="0" noProof="0">
              <a:ln w="6600">
                <a:solidFill>
                  <a:srgbClr val="C0504D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rgbClr val="C0504D"/>
                </a:outerShdw>
              </a:effectLst>
              <a:uLnTx/>
              <a:uFillTx/>
            </a:rPr>
            <a:t>A</a:t>
          </a:r>
          <a:endParaRPr kumimoji="0" lang="es-CO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257175</xdr:colOff>
      <xdr:row>6</xdr:row>
      <xdr:rowOff>76200</xdr:rowOff>
    </xdr:from>
    <xdr:to>
      <xdr:col>19</xdr:col>
      <xdr:colOff>542925</xdr:colOff>
      <xdr:row>8</xdr:row>
      <xdr:rowOff>76200</xdr:rowOff>
    </xdr:to>
    <xdr:sp macro="" textlink="">
      <xdr:nvSpPr>
        <xdr:cNvPr id="4" name="Llamada rectangular redondeada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 bwMode="auto">
        <a:xfrm>
          <a:off x="9163050" y="923925"/>
          <a:ext cx="285750" cy="228600"/>
        </a:xfrm>
        <a:prstGeom prst="wedgeRoundRectCallout">
          <a:avLst>
            <a:gd name="adj1" fmla="val -12358"/>
            <a:gd name="adj2" fmla="val 124038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600" b="1" i="0" u="none" strike="noStrike" kern="0" cap="none" spc="0" normalizeH="0" baseline="0" noProof="0">
              <a:ln w="6600">
                <a:solidFill>
                  <a:srgbClr val="C0504D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rgbClr val="C0504D"/>
                </a:outerShdw>
              </a:effectLst>
              <a:uLnTx/>
              <a:uFillTx/>
            </a:rPr>
            <a:t>B</a:t>
          </a:r>
          <a:endParaRPr kumimoji="0" lang="es-CO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276225</xdr:colOff>
      <xdr:row>6</xdr:row>
      <xdr:rowOff>10583</xdr:rowOff>
    </xdr:from>
    <xdr:to>
      <xdr:col>28</xdr:col>
      <xdr:colOff>581025</xdr:colOff>
      <xdr:row>8</xdr:row>
      <xdr:rowOff>1058</xdr:rowOff>
    </xdr:to>
    <xdr:sp macro="" textlink="">
      <xdr:nvSpPr>
        <xdr:cNvPr id="5" name="Llamada rectangular redondeada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 bwMode="auto">
        <a:xfrm>
          <a:off x="15346892" y="857250"/>
          <a:ext cx="304800" cy="212725"/>
        </a:xfrm>
        <a:prstGeom prst="wedgeRoundRectCallout">
          <a:avLst>
            <a:gd name="adj1" fmla="val -12358"/>
            <a:gd name="adj2" fmla="val 124038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600" b="1" i="0" u="none" strike="noStrike" kern="0" cap="none" spc="0" normalizeH="0" baseline="0" noProof="0">
              <a:ln w="6600">
                <a:solidFill>
                  <a:srgbClr val="C0504D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rgbClr val="C0504D"/>
                </a:outerShdw>
              </a:effectLst>
              <a:uLnTx/>
              <a:uFillTx/>
            </a:rPr>
            <a:t>C</a:t>
          </a:r>
          <a:endParaRPr kumimoji="0" lang="es-CO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29</xdr:col>
      <xdr:colOff>9525</xdr:colOff>
      <xdr:row>12</xdr:row>
      <xdr:rowOff>114300</xdr:rowOff>
    </xdr:from>
    <xdr:to>
      <xdr:col>30</xdr:col>
      <xdr:colOff>9525</xdr:colOff>
      <xdr:row>12</xdr:row>
      <xdr:rowOff>495300</xdr:rowOff>
    </xdr:to>
    <xdr:sp macro="" textlink="">
      <xdr:nvSpPr>
        <xdr:cNvPr id="6" name="Flecha abajo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 bwMode="auto">
        <a:xfrm>
          <a:off x="10744200" y="1514475"/>
          <a:ext cx="314325" cy="381000"/>
        </a:xfrm>
        <a:prstGeom prst="downArrow">
          <a:avLst/>
        </a:prstGeom>
        <a:gradFill rotWithShape="1">
          <a:gsLst>
            <a:gs pos="0">
              <a:srgbClr val="4BACC6">
                <a:shade val="51000"/>
                <a:satMod val="130000"/>
              </a:srgbClr>
            </a:gs>
            <a:gs pos="80000">
              <a:srgbClr val="4BACC6">
                <a:shade val="93000"/>
                <a:satMod val="130000"/>
              </a:srgbClr>
            </a:gs>
            <a:gs pos="100000">
              <a:srgbClr val="4BACC6">
                <a:shade val="94000"/>
                <a:satMod val="135000"/>
              </a:srgbClr>
            </a:gs>
          </a:gsLst>
          <a:lin ang="16200000" scaled="0"/>
        </a:gradFill>
        <a:ln>
          <a:noFill/>
          <a:headEnd type="none" w="med" len="med"/>
          <a:tailEnd type="none" w="med" len="med"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9</xdr:row>
      <xdr:rowOff>9524</xdr:rowOff>
    </xdr:from>
    <xdr:to>
      <xdr:col>1</xdr:col>
      <xdr:colOff>180975</xdr:colOff>
      <xdr:row>14</xdr:row>
      <xdr:rowOff>47624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9859B77-C05E-434F-998F-6F2B339C2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1381124"/>
          <a:ext cx="0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0</xdr:rowOff>
    </xdr:from>
    <xdr:to>
      <xdr:col>1</xdr:col>
      <xdr:colOff>38100</xdr:colOff>
      <xdr:row>8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185F637-0633-421A-9F54-F04596151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323850"/>
          <a:ext cx="0" cy="1114425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215900</xdr:colOff>
      <xdr:row>5</xdr:row>
      <xdr:rowOff>19051</xdr:rowOff>
    </xdr:from>
    <xdr:to>
      <xdr:col>3</xdr:col>
      <xdr:colOff>272972</xdr:colOff>
      <xdr:row>14</xdr:row>
      <xdr:rowOff>50801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B169CFE-8F3C-455A-B1FD-14BBC5583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" y="844551"/>
          <a:ext cx="1225472" cy="133985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93008</xdr:colOff>
      <xdr:row>0</xdr:row>
      <xdr:rowOff>154268</xdr:rowOff>
    </xdr:from>
    <xdr:to>
      <xdr:col>9</xdr:col>
      <xdr:colOff>449591</xdr:colOff>
      <xdr:row>3</xdr:row>
      <xdr:rowOff>6350</xdr:rowOff>
    </xdr:to>
    <xdr:pic>
      <xdr:nvPicPr>
        <xdr:cNvPr id="9" name="Imagen 8" descr="&lt;strong&gt;Libro&lt;/strong&gt; de Clases 1º a 8º EB 16 Asignaturas - Tienda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958" y="154268"/>
          <a:ext cx="356583" cy="337857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6073645</xdr:colOff>
      <xdr:row>0</xdr:row>
      <xdr:rowOff>87312</xdr:rowOff>
    </xdr:from>
    <xdr:to>
      <xdr:col>1</xdr:col>
      <xdr:colOff>6429376</xdr:colOff>
      <xdr:row>2</xdr:row>
      <xdr:rowOff>176213</xdr:rowOff>
    </xdr:to>
    <xdr:pic>
      <xdr:nvPicPr>
        <xdr:cNvPr id="2" name="Imagen 1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4770" y="87312"/>
          <a:ext cx="355731" cy="460376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>
    <xdr:from>
      <xdr:col>2</xdr:col>
      <xdr:colOff>47625</xdr:colOff>
      <xdr:row>0</xdr:row>
      <xdr:rowOff>55563</xdr:rowOff>
    </xdr:from>
    <xdr:to>
      <xdr:col>6</xdr:col>
      <xdr:colOff>420687</xdr:colOff>
      <xdr:row>3</xdr:row>
      <xdr:rowOff>127000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6651625" y="55563"/>
          <a:ext cx="2238375" cy="388937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800" b="1"/>
            <a:t>Consulta de CIUU</a:t>
          </a:r>
        </a:p>
      </xdr:txBody>
    </xdr:sp>
    <xdr:clientData/>
  </xdr:twoCellAnchor>
  <xdr:twoCellAnchor>
    <xdr:from>
      <xdr:col>2</xdr:col>
      <xdr:colOff>33338</xdr:colOff>
      <xdr:row>4</xdr:row>
      <xdr:rowOff>42862</xdr:rowOff>
    </xdr:from>
    <xdr:to>
      <xdr:col>4</xdr:col>
      <xdr:colOff>33337</xdr:colOff>
      <xdr:row>5</xdr:row>
      <xdr:rowOff>146050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43688" y="814387"/>
          <a:ext cx="628649" cy="30321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100" b="1"/>
            <a:t>Código</a:t>
          </a:r>
        </a:p>
      </xdr:txBody>
    </xdr:sp>
    <xdr:clientData/>
  </xdr:twoCellAnchor>
  <xdr:twoCellAnchor>
    <xdr:from>
      <xdr:col>4</xdr:col>
      <xdr:colOff>71436</xdr:colOff>
      <xdr:row>4</xdr:row>
      <xdr:rowOff>39687</xdr:rowOff>
    </xdr:from>
    <xdr:to>
      <xdr:col>6</xdr:col>
      <xdr:colOff>396874</xdr:colOff>
      <xdr:row>5</xdr:row>
      <xdr:rowOff>127000</xdr:rowOff>
    </xdr:to>
    <xdr:sp macro="" textlink="">
      <xdr:nvSpPr>
        <xdr:cNvPr id="5" name="Rectángulo redondead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7302499" y="714375"/>
          <a:ext cx="1674813" cy="261938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800" b="1"/>
            <a:t>Detalle</a:t>
          </a:r>
        </a:p>
      </xdr:txBody>
    </xdr:sp>
    <xdr:clientData/>
  </xdr:twoCellAnchor>
  <xdr:twoCellAnchor editAs="oneCell">
    <xdr:from>
      <xdr:col>1</xdr:col>
      <xdr:colOff>1801813</xdr:colOff>
      <xdr:row>5</xdr:row>
      <xdr:rowOff>71438</xdr:rowOff>
    </xdr:from>
    <xdr:to>
      <xdr:col>1</xdr:col>
      <xdr:colOff>4905375</xdr:colOff>
      <xdr:row>10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113" y="1042988"/>
          <a:ext cx="3103562" cy="1243012"/>
        </a:xfrm>
        <a:prstGeom prst="rect">
          <a:avLst/>
        </a:prstGeom>
      </xdr:spPr>
    </xdr:pic>
    <xdr:clientData/>
  </xdr:twoCellAnchor>
  <xdr:twoCellAnchor editAs="oneCell">
    <xdr:from>
      <xdr:col>1</xdr:col>
      <xdr:colOff>263525</xdr:colOff>
      <xdr:row>5</xdr:row>
      <xdr:rowOff>85725</xdr:rowOff>
    </xdr:from>
    <xdr:to>
      <xdr:col>1</xdr:col>
      <xdr:colOff>1495424</xdr:colOff>
      <xdr:row>10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5" y="1057275"/>
          <a:ext cx="1231899" cy="11811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>
    <xdr:from>
      <xdr:col>1</xdr:col>
      <xdr:colOff>5022850</xdr:colOff>
      <xdr:row>5</xdr:row>
      <xdr:rowOff>107949</xdr:rowOff>
    </xdr:from>
    <xdr:to>
      <xdr:col>1</xdr:col>
      <xdr:colOff>6181726</xdr:colOff>
      <xdr:row>10</xdr:row>
      <xdr:rowOff>55561</xdr:rowOff>
    </xdr:to>
    <xdr:sp macro="" textlink="">
      <xdr:nvSpPr>
        <xdr:cNvPr id="8" name="Flecha derecha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5137150" y="1079499"/>
          <a:ext cx="1158876" cy="881062"/>
        </a:xfrm>
        <a:prstGeom prst="rightArrow">
          <a:avLst/>
        </a:prstGeom>
        <a:ln>
          <a:noFill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100" b="1"/>
            <a:t>Consulte aquí su código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993322</xdr:colOff>
      <xdr:row>0</xdr:row>
      <xdr:rowOff>156484</xdr:rowOff>
    </xdr:from>
    <xdr:to>
      <xdr:col>9</xdr:col>
      <xdr:colOff>117682</xdr:colOff>
      <xdr:row>2</xdr:row>
      <xdr:rowOff>54429</xdr:rowOff>
    </xdr:to>
    <xdr:pic>
      <xdr:nvPicPr>
        <xdr:cNvPr id="2" name="Imagen 1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6911" y="156484"/>
          <a:ext cx="240146" cy="224516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490992</xdr:colOff>
      <xdr:row>5</xdr:row>
      <xdr:rowOff>13834</xdr:rowOff>
    </xdr:from>
    <xdr:to>
      <xdr:col>13</xdr:col>
      <xdr:colOff>415016</xdr:colOff>
      <xdr:row>6</xdr:row>
      <xdr:rowOff>20411</xdr:rowOff>
    </xdr:to>
    <xdr:pic>
      <xdr:nvPicPr>
        <xdr:cNvPr id="4" name="Picture 8" descr="OCT nueva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61063" y="966334"/>
          <a:ext cx="747257" cy="598488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337439</xdr:colOff>
      <xdr:row>1</xdr:row>
      <xdr:rowOff>136070</xdr:rowOff>
    </xdr:from>
    <xdr:to>
      <xdr:col>11</xdr:col>
      <xdr:colOff>662744</xdr:colOff>
      <xdr:row>4</xdr:row>
      <xdr:rowOff>9525</xdr:rowOff>
    </xdr:to>
    <xdr:pic>
      <xdr:nvPicPr>
        <xdr:cNvPr id="5" name="Imagen 4" descr="&lt;strong&gt;Libro&lt;/strong&gt; de Clases 1º a 8º EB 16 Asignaturas - Tien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4789" y="297995"/>
          <a:ext cx="325305" cy="35923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419100</xdr:colOff>
      <xdr:row>1</xdr:row>
      <xdr:rowOff>76200</xdr:rowOff>
    </xdr:from>
    <xdr:to>
      <xdr:col>15</xdr:col>
      <xdr:colOff>800100</xdr:colOff>
      <xdr:row>4</xdr:row>
      <xdr:rowOff>93807</xdr:rowOff>
    </xdr:to>
    <xdr:pic>
      <xdr:nvPicPr>
        <xdr:cNvPr id="4" name="Imagen 3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1900" y="238125"/>
          <a:ext cx="381000" cy="4826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592137</xdr:colOff>
      <xdr:row>1</xdr:row>
      <xdr:rowOff>49212</xdr:rowOff>
    </xdr:from>
    <xdr:to>
      <xdr:col>13</xdr:col>
      <xdr:colOff>948720</xdr:colOff>
      <xdr:row>3</xdr:row>
      <xdr:rowOff>39687</xdr:rowOff>
    </xdr:to>
    <xdr:pic>
      <xdr:nvPicPr>
        <xdr:cNvPr id="3" name="Imagen 2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0700" y="160337"/>
          <a:ext cx="356583" cy="379413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 editAs="oneCell">
    <xdr:from>
      <xdr:col>13</xdr:col>
      <xdr:colOff>444500</xdr:colOff>
      <xdr:row>77</xdr:row>
      <xdr:rowOff>63501</xdr:rowOff>
    </xdr:from>
    <xdr:to>
      <xdr:col>13</xdr:col>
      <xdr:colOff>849312</xdr:colOff>
      <xdr:row>81</xdr:row>
      <xdr:rowOff>7939</xdr:rowOff>
    </xdr:to>
    <xdr:pic>
      <xdr:nvPicPr>
        <xdr:cNvPr id="5" name="Imagen 4" descr="&lt;strong&gt;Mano&lt;/strong&gt; apuntando a un lado icono — Archivo Imágenes ...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063" y="11636376"/>
          <a:ext cx="404812" cy="3730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62059</xdr:colOff>
      <xdr:row>169</xdr:row>
      <xdr:rowOff>55561</xdr:rowOff>
    </xdr:from>
    <xdr:to>
      <xdr:col>1</xdr:col>
      <xdr:colOff>825500</xdr:colOff>
      <xdr:row>169</xdr:row>
      <xdr:rowOff>730250</xdr:rowOff>
    </xdr:to>
    <xdr:sp macro="" textlink="">
      <xdr:nvSpPr>
        <xdr:cNvPr id="2" name="Bocadillo: ovalado 1">
          <a:extLst>
            <a:ext uri="{FF2B5EF4-FFF2-40B4-BE49-F238E27FC236}">
              <a16:creationId xmlns:a16="http://schemas.microsoft.com/office/drawing/2014/main" id="{DDEA9514-B8A4-46DC-8764-A15716677A91}"/>
            </a:ext>
          </a:extLst>
        </xdr:cNvPr>
        <xdr:cNvSpPr/>
      </xdr:nvSpPr>
      <xdr:spPr bwMode="auto">
        <a:xfrm rot="16200000">
          <a:off x="304873" y="29364060"/>
          <a:ext cx="674689" cy="763441"/>
        </a:xfrm>
        <a:prstGeom prst="wedgeEllipseCallout">
          <a:avLst>
            <a:gd name="adj1" fmla="val -91965"/>
            <a:gd name="adj2" fmla="val 214121"/>
          </a:avLst>
        </a:prstGeom>
        <a:solidFill>
          <a:schemeClr val="tx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101600" prst="riblet"/>
        </a:sp3d>
      </xdr:spPr>
      <xdr:txBody>
        <a:bodyPr vertOverflow="clip" wrap="square" lIns="18288" tIns="0" rIns="0" bIns="0" rtlCol="0" anchor="ctr" upright="1"/>
        <a:lstStyle/>
        <a:p>
          <a:pPr algn="l"/>
          <a:r>
            <a:rPr lang="es-CO" sz="1000" b="1" i="0">
              <a:latin typeface="+mn-lt"/>
            </a:rPr>
            <a:t>Escoja la celda</a:t>
          </a:r>
        </a:p>
      </xdr:txBody>
    </xdr:sp>
    <xdr:clientData/>
  </xdr:twoCellAnchor>
  <xdr:twoCellAnchor>
    <xdr:from>
      <xdr:col>12</xdr:col>
      <xdr:colOff>43729</xdr:colOff>
      <xdr:row>161</xdr:row>
      <xdr:rowOff>492125</xdr:rowOff>
    </xdr:from>
    <xdr:to>
      <xdr:col>13</xdr:col>
      <xdr:colOff>119063</xdr:colOff>
      <xdr:row>163</xdr:row>
      <xdr:rowOff>51956</xdr:rowOff>
    </xdr:to>
    <xdr:sp macro="" textlink="">
      <xdr:nvSpPr>
        <xdr:cNvPr id="3" name="Flecha: hacia la izquierda 2">
          <a:extLst>
            <a:ext uri="{FF2B5EF4-FFF2-40B4-BE49-F238E27FC236}">
              <a16:creationId xmlns:a16="http://schemas.microsoft.com/office/drawing/2014/main" id="{7A3D1657-98A2-4FBA-BA08-6AF88FE436EC}"/>
            </a:ext>
          </a:extLst>
        </xdr:cNvPr>
        <xdr:cNvSpPr/>
      </xdr:nvSpPr>
      <xdr:spPr bwMode="auto">
        <a:xfrm>
          <a:off x="6290542" y="27749500"/>
          <a:ext cx="329334" cy="472644"/>
        </a:xfrm>
        <a:prstGeom prst="leftArrow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139700" h="139700" prst="divot"/>
        </a:sp3d>
      </xdr:spPr>
      <xdr:txBody>
        <a:bodyPr vertOverflow="clip" wrap="square" lIns="18288" tIns="0" rIns="0" bIns="0" rtlCol="0" anchor="ctr" upright="1"/>
        <a:lstStyle/>
        <a:p>
          <a:pPr algn="l"/>
          <a:r>
            <a:rPr lang="es-CO" sz="900" b="1">
              <a:solidFill>
                <a:srgbClr val="FF0000"/>
              </a:solidFill>
            </a:rPr>
            <a:t>  </a:t>
          </a:r>
          <a:r>
            <a:rPr lang="es-CO" sz="1000" b="1">
              <a:solidFill>
                <a:srgbClr val="C00000"/>
              </a:solidFill>
            </a:rPr>
            <a:t>A</a:t>
          </a:r>
        </a:p>
      </xdr:txBody>
    </xdr:sp>
    <xdr:clientData/>
  </xdr:twoCellAnchor>
  <xdr:twoCellAnchor>
    <xdr:from>
      <xdr:col>12</xdr:col>
      <xdr:colOff>77930</xdr:colOff>
      <xdr:row>164</xdr:row>
      <xdr:rowOff>142875</xdr:rowOff>
    </xdr:from>
    <xdr:to>
      <xdr:col>13</xdr:col>
      <xdr:colOff>190499</xdr:colOff>
      <xdr:row>166</xdr:row>
      <xdr:rowOff>43296</xdr:rowOff>
    </xdr:to>
    <xdr:sp macro="" textlink="">
      <xdr:nvSpPr>
        <xdr:cNvPr id="4" name="Flecha: hacia la izquierda 4">
          <a:extLst>
            <a:ext uri="{FF2B5EF4-FFF2-40B4-BE49-F238E27FC236}">
              <a16:creationId xmlns:a16="http://schemas.microsoft.com/office/drawing/2014/main" id="{C89F492D-472E-4E0B-A7C9-6F24ABB6E068}"/>
            </a:ext>
          </a:extLst>
        </xdr:cNvPr>
        <xdr:cNvSpPr/>
      </xdr:nvSpPr>
      <xdr:spPr bwMode="auto">
        <a:xfrm>
          <a:off x="6324743" y="28098750"/>
          <a:ext cx="366569" cy="440171"/>
        </a:xfrm>
        <a:prstGeom prst="leftArrow">
          <a:avLst>
            <a:gd name="adj1" fmla="val 50000"/>
            <a:gd name="adj2" fmla="val 36275"/>
          </a:avLst>
        </a:prstGeom>
        <a:solidFill>
          <a:schemeClr val="tx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114300" prst="artDeco"/>
        </a:sp3d>
      </xdr:spPr>
      <xdr:txBody>
        <a:bodyPr vertOverflow="clip" wrap="square" lIns="18288" tIns="0" rIns="0" bIns="0" rtlCol="0" anchor="ctr" upright="1"/>
        <a:lstStyle/>
        <a:p>
          <a:pPr algn="l"/>
          <a:r>
            <a:rPr lang="es-CO" sz="1000" b="1">
              <a:solidFill>
                <a:srgbClr val="C00000"/>
              </a:solidFill>
            </a:rPr>
            <a:t>  B</a:t>
          </a:r>
        </a:p>
      </xdr:txBody>
    </xdr:sp>
    <xdr:clientData/>
  </xdr:twoCellAnchor>
  <xdr:twoCellAnchor>
    <xdr:from>
      <xdr:col>12</xdr:col>
      <xdr:colOff>174047</xdr:colOff>
      <xdr:row>166</xdr:row>
      <xdr:rowOff>4332</xdr:rowOff>
    </xdr:from>
    <xdr:to>
      <xdr:col>13</xdr:col>
      <xdr:colOff>268433</xdr:colOff>
      <xdr:row>167</xdr:row>
      <xdr:rowOff>25978</xdr:rowOff>
    </xdr:to>
    <xdr:sp macro="" textlink="">
      <xdr:nvSpPr>
        <xdr:cNvPr id="5" name="Flecha: hacia la izquierda 6">
          <a:extLst>
            <a:ext uri="{FF2B5EF4-FFF2-40B4-BE49-F238E27FC236}">
              <a16:creationId xmlns:a16="http://schemas.microsoft.com/office/drawing/2014/main" id="{01C782EF-BE92-482F-B0E0-16D3254F0592}"/>
            </a:ext>
          </a:extLst>
        </xdr:cNvPr>
        <xdr:cNvSpPr/>
      </xdr:nvSpPr>
      <xdr:spPr bwMode="auto">
        <a:xfrm>
          <a:off x="6322002" y="27618173"/>
          <a:ext cx="354158" cy="402646"/>
        </a:xfrm>
        <a:prstGeom prst="leftArrow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139700" h="139700" prst="divot"/>
        </a:sp3d>
      </xdr:spPr>
      <xdr:txBody>
        <a:bodyPr vertOverflow="clip" wrap="square" lIns="18288" tIns="0" rIns="0" bIns="0" rtlCol="0" anchor="ctr" upright="1"/>
        <a:lstStyle/>
        <a:p>
          <a:pPr algn="l"/>
          <a:r>
            <a:rPr lang="es-CO" sz="1000" b="1">
              <a:solidFill>
                <a:srgbClr val="FF0000"/>
              </a:solidFill>
            </a:rPr>
            <a:t>  </a:t>
          </a:r>
          <a:r>
            <a:rPr lang="es-CO" sz="1000" b="1">
              <a:solidFill>
                <a:srgbClr val="C00000"/>
              </a:solidFill>
            </a:rPr>
            <a:t>C</a:t>
          </a:r>
        </a:p>
      </xdr:txBody>
    </xdr:sp>
    <xdr:clientData/>
  </xdr:twoCellAnchor>
  <xdr:twoCellAnchor>
    <xdr:from>
      <xdr:col>12</xdr:col>
      <xdr:colOff>101308</xdr:colOff>
      <xdr:row>167</xdr:row>
      <xdr:rowOff>10390</xdr:rowOff>
    </xdr:from>
    <xdr:to>
      <xdr:col>13</xdr:col>
      <xdr:colOff>199159</xdr:colOff>
      <xdr:row>168</xdr:row>
      <xdr:rowOff>25977</xdr:rowOff>
    </xdr:to>
    <xdr:sp macro="" textlink="">
      <xdr:nvSpPr>
        <xdr:cNvPr id="6" name="Flecha: hacia la izquierda 5">
          <a:extLst>
            <a:ext uri="{FF2B5EF4-FFF2-40B4-BE49-F238E27FC236}">
              <a16:creationId xmlns:a16="http://schemas.microsoft.com/office/drawing/2014/main" id="{4D8B3B7B-E1F7-414A-942E-9BA628CFBD2F}"/>
            </a:ext>
          </a:extLst>
        </xdr:cNvPr>
        <xdr:cNvSpPr/>
      </xdr:nvSpPr>
      <xdr:spPr bwMode="auto">
        <a:xfrm>
          <a:off x="6249263" y="28005231"/>
          <a:ext cx="357623" cy="396587"/>
        </a:xfrm>
        <a:prstGeom prst="leftArrow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139700" h="139700" prst="divot"/>
        </a:sp3d>
      </xdr:spPr>
      <xdr:txBody>
        <a:bodyPr vertOverflow="clip" wrap="square" lIns="18288" tIns="0" rIns="0" bIns="0" rtlCol="0" anchor="ctr" upright="1"/>
        <a:lstStyle/>
        <a:p>
          <a:pPr algn="l"/>
          <a:r>
            <a:rPr lang="es-CO" sz="900" b="1">
              <a:solidFill>
                <a:srgbClr val="FF0000"/>
              </a:solidFill>
            </a:rPr>
            <a:t>  </a:t>
          </a:r>
          <a:r>
            <a:rPr lang="es-CO" sz="1000" b="1">
              <a:solidFill>
                <a:srgbClr val="C00000"/>
              </a:solidFill>
            </a:rPr>
            <a:t>D</a:t>
          </a:r>
        </a:p>
      </xdr:txBody>
    </xdr:sp>
    <xdr:clientData/>
  </xdr:twoCellAnchor>
  <xdr:twoCellAnchor>
    <xdr:from>
      <xdr:col>7</xdr:col>
      <xdr:colOff>51954</xdr:colOff>
      <xdr:row>197</xdr:row>
      <xdr:rowOff>34636</xdr:rowOff>
    </xdr:from>
    <xdr:to>
      <xdr:col>9</xdr:col>
      <xdr:colOff>701386</xdr:colOff>
      <xdr:row>200</xdr:row>
      <xdr:rowOff>129887</xdr:rowOff>
    </xdr:to>
    <xdr:sp macro="" textlink="">
      <xdr:nvSpPr>
        <xdr:cNvPr id="7" name="Llamada rectangula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 bwMode="auto">
        <a:xfrm>
          <a:off x="3233304" y="35010436"/>
          <a:ext cx="1611457" cy="609601"/>
        </a:xfrm>
        <a:prstGeom prst="wedgeRectCallout">
          <a:avLst>
            <a:gd name="adj1" fmla="val -62231"/>
            <a:gd name="adj2" fmla="val -8611"/>
          </a:avLst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lvl="0" algn="ctr"/>
          <a:r>
            <a:rPr lang="es-CO" sz="1100" b="1" i="1">
              <a:solidFill>
                <a:schemeClr val="bg1"/>
              </a:solidFill>
            </a:rPr>
            <a:t>Estos 2 datos vienen de la cédula Rentas</a:t>
          </a:r>
          <a:r>
            <a:rPr lang="es-CO" sz="1100" b="1" i="1" baseline="0">
              <a:solidFill>
                <a:schemeClr val="bg1"/>
              </a:solidFill>
            </a:rPr>
            <a:t> especiales</a:t>
          </a:r>
          <a:endParaRPr lang="es-CO" sz="1100" b="1" i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15</xdr:col>
      <xdr:colOff>476250</xdr:colOff>
      <xdr:row>1</xdr:row>
      <xdr:rowOff>17318</xdr:rowOff>
    </xdr:from>
    <xdr:to>
      <xdr:col>16</xdr:col>
      <xdr:colOff>53515</xdr:colOff>
      <xdr:row>3</xdr:row>
      <xdr:rowOff>112569</xdr:rowOff>
    </xdr:to>
    <xdr:pic>
      <xdr:nvPicPr>
        <xdr:cNvPr id="8" name="Imagen 7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179243"/>
          <a:ext cx="358315" cy="419101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>
    <xdr:from>
      <xdr:col>6</xdr:col>
      <xdr:colOff>173181</xdr:colOff>
      <xdr:row>123</xdr:row>
      <xdr:rowOff>155864</xdr:rowOff>
    </xdr:from>
    <xdr:to>
      <xdr:col>7</xdr:col>
      <xdr:colOff>640773</xdr:colOff>
      <xdr:row>125</xdr:row>
      <xdr:rowOff>8659</xdr:rowOff>
    </xdr:to>
    <xdr:sp macro="" textlink="">
      <xdr:nvSpPr>
        <xdr:cNvPr id="9" name="Rectángulo redondead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 bwMode="auto">
        <a:xfrm>
          <a:off x="3144981" y="21377564"/>
          <a:ext cx="677142" cy="19569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ctr"/>
          <a:r>
            <a:rPr lang="es-CO" sz="1000" b="1"/>
            <a:t>Ver</a:t>
          </a:r>
          <a:r>
            <a:rPr lang="es-CO" sz="1000" b="1" baseline="0"/>
            <a:t> Tabla</a:t>
          </a:r>
          <a:endParaRPr lang="es-CO" sz="1000" b="1"/>
        </a:p>
      </xdr:txBody>
    </xdr:sp>
    <xdr:clientData/>
  </xdr:twoCellAnchor>
  <xdr:twoCellAnchor>
    <xdr:from>
      <xdr:col>6</xdr:col>
      <xdr:colOff>0</xdr:colOff>
      <xdr:row>187</xdr:row>
      <xdr:rowOff>25977</xdr:rowOff>
    </xdr:from>
    <xdr:to>
      <xdr:col>10</xdr:col>
      <xdr:colOff>138546</xdr:colOff>
      <xdr:row>189</xdr:row>
      <xdr:rowOff>43296</xdr:rowOff>
    </xdr:to>
    <xdr:cxnSp macro="">
      <xdr:nvCxnSpPr>
        <xdr:cNvPr id="22" name="Conector curvado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/>
      </xdr:nvCxnSpPr>
      <xdr:spPr bwMode="auto">
        <a:xfrm>
          <a:off x="3177886" y="32973818"/>
          <a:ext cx="2208069" cy="623455"/>
        </a:xfrm>
        <a:prstGeom prst="curvedConnector3">
          <a:avLst>
            <a:gd name="adj1" fmla="val 12764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triangle"/>
          <a:tailEnd type="triangle"/>
        </a:ln>
        <a:effectLst/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317500</xdr:colOff>
      <xdr:row>1</xdr:row>
      <xdr:rowOff>49212</xdr:rowOff>
    </xdr:from>
    <xdr:to>
      <xdr:col>19</xdr:col>
      <xdr:colOff>745521</xdr:colOff>
      <xdr:row>5</xdr:row>
      <xdr:rowOff>47624</xdr:rowOff>
    </xdr:to>
    <xdr:pic>
      <xdr:nvPicPr>
        <xdr:cNvPr id="2" name="Imagen 1" descr="&lt;strong&gt;Libro&lt;/strong&gt; de Clases 1º a 8º EB 16 Asignaturas - Tien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7962"/>
          <a:ext cx="428021" cy="498475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lpiaequipomesa%20-oct2022\Desktop\DECLARACIONES%20RENTA%202023\FOR%20110%20DR%202022-(Ver%2023-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"/>
      <sheetName val="CIUU"/>
      <sheetName val="Vencimientos"/>
      <sheetName val="Datos"/>
      <sheetName val="Patrimonio Bruto"/>
      <sheetName val="Patrimonio Liquido"/>
      <sheetName val="Rentas"/>
      <sheetName val="Rtas Especiales"/>
      <sheetName val="Nómina"/>
      <sheetName val="Gastos"/>
      <sheetName val="Anexo Contador"/>
      <sheetName val="DR 210 Borrador"/>
      <sheetName val="Dec 2609"/>
      <sheetName val="Presentacion"/>
      <sheetName val="Datos Generales"/>
      <sheetName val="AJUSTES"/>
      <sheetName val="Renta"/>
      <sheetName val="Rentas Espe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octpereira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ctprofempresas.wixsite.com/octpei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2:L46"/>
  <sheetViews>
    <sheetView showGridLines="0" showRowColHeaders="0" tabSelected="1" zoomScale="90" zoomScaleNormal="90" workbookViewId="0">
      <selection activeCell="P25" sqref="P25"/>
    </sheetView>
  </sheetViews>
  <sheetFormatPr baseColWidth="10" defaultRowHeight="12.75"/>
  <cols>
    <col min="1" max="1" width="15.7109375" customWidth="1"/>
    <col min="2" max="2" width="25.7109375" customWidth="1"/>
    <col min="12" max="12" width="25.7109375" customWidth="1"/>
  </cols>
  <sheetData>
    <row r="2" spans="2:12"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</row>
    <row r="3" spans="2:12" ht="15" customHeight="1">
      <c r="B3" s="345"/>
      <c r="C3" s="1333" t="s">
        <v>1167</v>
      </c>
      <c r="D3" s="1334"/>
      <c r="E3" s="1334"/>
      <c r="F3" s="1334"/>
      <c r="G3" s="1334"/>
      <c r="H3" s="1334"/>
      <c r="I3" s="1334"/>
      <c r="J3" s="1334"/>
      <c r="K3" s="1335"/>
      <c r="L3" s="346"/>
    </row>
    <row r="4" spans="2:12" ht="15" customHeight="1">
      <c r="B4" s="345"/>
      <c r="C4" s="1336"/>
      <c r="D4" s="1337"/>
      <c r="E4" s="1337"/>
      <c r="F4" s="1337"/>
      <c r="G4" s="1337"/>
      <c r="H4" s="1337"/>
      <c r="I4" s="1337"/>
      <c r="J4" s="1337"/>
      <c r="K4" s="1338"/>
      <c r="L4" s="346"/>
    </row>
    <row r="5" spans="2:12" ht="15" customHeight="1">
      <c r="B5" s="345"/>
      <c r="C5" s="1336"/>
      <c r="D5" s="1337"/>
      <c r="E5" s="1337"/>
      <c r="F5" s="1337"/>
      <c r="G5" s="1337"/>
      <c r="H5" s="1337"/>
      <c r="I5" s="1337"/>
      <c r="J5" s="1337"/>
      <c r="K5" s="1338"/>
      <c r="L5" s="346"/>
    </row>
    <row r="6" spans="2:12" ht="30" customHeight="1">
      <c r="B6" s="345"/>
      <c r="C6" s="1336" t="s">
        <v>1168</v>
      </c>
      <c r="D6" s="1337"/>
      <c r="E6" s="1337"/>
      <c r="F6" s="1337"/>
      <c r="G6" s="1337"/>
      <c r="H6" s="1337"/>
      <c r="I6" s="1337"/>
      <c r="J6" s="1337"/>
      <c r="K6" s="1338"/>
      <c r="L6" s="345"/>
    </row>
    <row r="7" spans="2:12" ht="15" customHeight="1">
      <c r="B7" s="345"/>
      <c r="C7" s="1336" t="s">
        <v>1169</v>
      </c>
      <c r="D7" s="1337"/>
      <c r="E7" s="1337"/>
      <c r="F7" s="1337"/>
      <c r="G7" s="1337"/>
      <c r="H7" s="1337"/>
      <c r="I7" s="1337"/>
      <c r="J7" s="1337"/>
      <c r="K7" s="1338"/>
      <c r="L7" s="345"/>
    </row>
    <row r="8" spans="2:12" ht="15" customHeight="1">
      <c r="B8" s="345"/>
      <c r="C8" s="1339"/>
      <c r="D8" s="1340"/>
      <c r="E8" s="1340"/>
      <c r="F8" s="1340"/>
      <c r="G8" s="1340"/>
      <c r="H8" s="1340"/>
      <c r="I8" s="1340"/>
      <c r="J8" s="1340"/>
      <c r="K8" s="1341"/>
      <c r="L8" s="345"/>
    </row>
    <row r="9" spans="2:12">
      <c r="B9" s="345"/>
      <c r="C9" s="545"/>
      <c r="D9" s="545"/>
      <c r="E9" s="545"/>
      <c r="F9" s="545"/>
      <c r="G9" s="545"/>
      <c r="H9" s="545"/>
      <c r="I9" s="545"/>
      <c r="J9" s="545"/>
      <c r="K9" s="545"/>
      <c r="L9" s="345"/>
    </row>
    <row r="10" spans="2:12">
      <c r="B10" s="345"/>
      <c r="C10" s="545"/>
      <c r="D10" s="545"/>
      <c r="E10" s="545"/>
      <c r="F10" s="545"/>
      <c r="G10" s="545"/>
      <c r="H10" s="545"/>
      <c r="I10" s="545"/>
      <c r="J10" s="545"/>
      <c r="K10" s="545"/>
      <c r="L10" s="345"/>
    </row>
    <row r="11" spans="2:12">
      <c r="B11" s="345"/>
      <c r="C11" s="545"/>
      <c r="D11" s="545"/>
      <c r="E11" s="545"/>
      <c r="F11" s="545"/>
      <c r="G11" s="545"/>
      <c r="H11" s="545"/>
      <c r="I11" s="545"/>
      <c r="J11" s="545"/>
      <c r="K11" s="545"/>
      <c r="L11" s="345"/>
    </row>
    <row r="12" spans="2:12">
      <c r="B12" s="345"/>
      <c r="C12" s="545"/>
      <c r="D12" s="545"/>
      <c r="E12" s="545"/>
      <c r="F12" s="545"/>
      <c r="G12" s="545"/>
      <c r="H12" s="545"/>
      <c r="I12" s="545"/>
      <c r="J12" s="545"/>
      <c r="K12" s="545"/>
      <c r="L12" s="345"/>
    </row>
    <row r="13" spans="2:12">
      <c r="B13" s="345"/>
      <c r="C13" s="545"/>
      <c r="D13" s="545"/>
      <c r="E13" s="545"/>
      <c r="F13" s="545"/>
      <c r="G13" s="545"/>
      <c r="H13" s="545"/>
      <c r="I13" s="545"/>
      <c r="J13" s="545"/>
      <c r="K13" s="545"/>
      <c r="L13" s="345"/>
    </row>
    <row r="14" spans="2:12">
      <c r="B14" s="345"/>
      <c r="C14" s="545"/>
      <c r="D14" s="545"/>
      <c r="E14" s="545"/>
      <c r="F14" s="545"/>
      <c r="G14" s="545"/>
      <c r="H14" s="545"/>
      <c r="I14" s="545"/>
      <c r="J14" s="545"/>
      <c r="K14" s="545"/>
      <c r="L14" s="345"/>
    </row>
    <row r="15" spans="2:12">
      <c r="B15" s="345"/>
      <c r="C15" s="545"/>
      <c r="D15" s="545"/>
      <c r="E15" s="545"/>
      <c r="F15" s="545"/>
      <c r="G15" s="545"/>
      <c r="H15" s="545"/>
      <c r="I15" s="545"/>
      <c r="J15" s="545"/>
      <c r="K15" s="545"/>
      <c r="L15" s="345"/>
    </row>
    <row r="16" spans="2:12">
      <c r="B16" s="345"/>
      <c r="C16" s="545"/>
      <c r="D16" s="545"/>
      <c r="E16" s="545"/>
      <c r="F16" s="545"/>
      <c r="G16" s="545"/>
      <c r="H16" s="545"/>
      <c r="I16" s="545"/>
      <c r="J16" s="545"/>
      <c r="K16" s="545"/>
      <c r="L16" s="345"/>
    </row>
    <row r="17" spans="2:12">
      <c r="B17" s="345"/>
      <c r="C17" s="545"/>
      <c r="D17" s="545"/>
      <c r="E17" s="545"/>
      <c r="F17" s="545"/>
      <c r="G17" s="545"/>
      <c r="H17" s="545"/>
      <c r="I17" s="545"/>
      <c r="J17" s="545"/>
      <c r="K17" s="545"/>
      <c r="L17" s="345"/>
    </row>
    <row r="18" spans="2:12">
      <c r="B18" s="345"/>
      <c r="C18" s="545"/>
      <c r="D18" s="545"/>
      <c r="E18" s="545"/>
      <c r="F18" s="545"/>
      <c r="G18" s="545"/>
      <c r="H18" s="545"/>
      <c r="I18" s="545"/>
      <c r="J18" s="545"/>
      <c r="K18" s="545"/>
      <c r="L18" s="345"/>
    </row>
    <row r="19" spans="2:12">
      <c r="B19" s="345"/>
      <c r="C19" s="545"/>
      <c r="D19" s="545"/>
      <c r="E19" s="545"/>
      <c r="F19" s="545"/>
      <c r="G19" s="545"/>
      <c r="H19" s="545"/>
      <c r="I19" s="545"/>
      <c r="J19" s="545"/>
      <c r="K19" s="545"/>
      <c r="L19" s="345"/>
    </row>
    <row r="20" spans="2:12">
      <c r="B20" s="345"/>
      <c r="C20" s="545"/>
      <c r="D20" s="545"/>
      <c r="E20" s="545"/>
      <c r="F20" s="545"/>
      <c r="G20" s="545"/>
      <c r="H20" s="545"/>
      <c r="I20" s="545"/>
      <c r="J20" s="545"/>
      <c r="K20" s="545"/>
      <c r="L20" s="345"/>
    </row>
    <row r="21" spans="2:12">
      <c r="B21" s="345"/>
      <c r="C21" s="545"/>
      <c r="D21" s="545"/>
      <c r="E21" s="545"/>
      <c r="F21" s="545"/>
      <c r="G21" s="545"/>
      <c r="H21" s="545"/>
      <c r="I21" s="545"/>
      <c r="J21" s="545"/>
      <c r="K21" s="545"/>
      <c r="L21" s="345"/>
    </row>
    <row r="22" spans="2:12">
      <c r="B22" s="345"/>
      <c r="C22" s="545"/>
      <c r="D22" s="545"/>
      <c r="E22" s="545"/>
      <c r="F22" s="545"/>
      <c r="G22" s="545"/>
      <c r="H22" s="545"/>
      <c r="I22" s="545"/>
      <c r="J22" s="545"/>
      <c r="K22" s="545"/>
      <c r="L22" s="345"/>
    </row>
    <row r="23" spans="2:12">
      <c r="B23" s="345"/>
      <c r="C23" s="545"/>
      <c r="D23" s="545"/>
      <c r="E23" s="545"/>
      <c r="F23" s="545"/>
      <c r="G23" s="545"/>
      <c r="H23" s="545"/>
      <c r="I23" s="545"/>
      <c r="J23" s="545"/>
      <c r="K23" s="545"/>
      <c r="L23" s="345"/>
    </row>
    <row r="24" spans="2:12">
      <c r="B24" s="345"/>
      <c r="C24" s="545"/>
      <c r="D24" s="545"/>
      <c r="E24" s="545"/>
      <c r="F24" s="545"/>
      <c r="G24" s="545"/>
      <c r="H24" s="545"/>
      <c r="I24" s="545"/>
      <c r="J24" s="545"/>
      <c r="K24" s="545"/>
      <c r="L24" s="345"/>
    </row>
    <row r="25" spans="2:12">
      <c r="B25" s="345"/>
      <c r="C25" s="545"/>
      <c r="D25" s="545"/>
      <c r="E25" s="545"/>
      <c r="F25" s="545"/>
      <c r="G25" s="545"/>
      <c r="H25" s="545"/>
      <c r="I25" s="545"/>
      <c r="J25" s="545"/>
      <c r="K25" s="545"/>
      <c r="L25" s="345"/>
    </row>
    <row r="26" spans="2:12">
      <c r="B26" s="345"/>
      <c r="C26" s="545"/>
      <c r="D26" s="545"/>
      <c r="E26" s="545"/>
      <c r="F26" s="545"/>
      <c r="G26" s="545"/>
      <c r="H26" s="545"/>
      <c r="I26" s="545"/>
      <c r="J26" s="545"/>
      <c r="K26" s="545"/>
      <c r="L26" s="345"/>
    </row>
    <row r="27" spans="2:12">
      <c r="B27" s="345"/>
      <c r="C27" s="545"/>
      <c r="D27" s="545"/>
      <c r="E27" s="545"/>
      <c r="F27" s="545"/>
      <c r="G27" s="545"/>
      <c r="H27" s="545"/>
      <c r="I27" s="545"/>
      <c r="J27" s="545"/>
      <c r="K27" s="545"/>
      <c r="L27" s="345"/>
    </row>
    <row r="28" spans="2:12">
      <c r="B28" s="345"/>
      <c r="C28" s="545"/>
      <c r="D28" s="545"/>
      <c r="E28" s="545"/>
      <c r="F28" s="545"/>
      <c r="G28" s="545"/>
      <c r="H28" s="545"/>
      <c r="I28" s="545"/>
      <c r="J28" s="545"/>
      <c r="K28" s="545"/>
      <c r="L28" s="345"/>
    </row>
    <row r="29" spans="2:12">
      <c r="B29" s="345"/>
      <c r="C29" s="545"/>
      <c r="D29" s="545"/>
      <c r="E29" s="545"/>
      <c r="F29" s="545"/>
      <c r="G29" s="545"/>
      <c r="H29" s="545"/>
      <c r="I29" s="545"/>
      <c r="J29" s="545"/>
      <c r="K29" s="545"/>
      <c r="L29" s="345"/>
    </row>
    <row r="30" spans="2:12">
      <c r="B30" s="345"/>
      <c r="C30" s="545"/>
      <c r="D30" s="545"/>
      <c r="E30" s="545"/>
      <c r="F30" s="545"/>
      <c r="G30" s="545"/>
      <c r="H30" s="545"/>
      <c r="I30" s="545"/>
      <c r="J30" s="545"/>
      <c r="K30" s="545"/>
      <c r="L30" s="345"/>
    </row>
    <row r="31" spans="2:12">
      <c r="B31" s="345"/>
      <c r="C31" s="545"/>
      <c r="D31" s="545"/>
      <c r="E31" s="545"/>
      <c r="F31" s="545"/>
      <c r="G31" s="545"/>
      <c r="H31" s="545"/>
      <c r="I31" s="545"/>
      <c r="J31" s="545"/>
      <c r="K31" s="545"/>
      <c r="L31" s="345"/>
    </row>
    <row r="32" spans="2:12">
      <c r="B32" s="345"/>
      <c r="C32" s="545"/>
      <c r="D32" s="545"/>
      <c r="E32" s="545"/>
      <c r="F32" s="545"/>
      <c r="G32" s="545"/>
      <c r="H32" s="545"/>
      <c r="I32" s="545"/>
      <c r="J32" s="545"/>
      <c r="K32" s="545"/>
      <c r="L32" s="345"/>
    </row>
    <row r="33" spans="2:12">
      <c r="B33" s="345"/>
      <c r="C33" s="545"/>
      <c r="D33" s="545"/>
      <c r="E33" s="545"/>
      <c r="F33" s="545"/>
      <c r="G33" s="545"/>
      <c r="H33" s="545"/>
      <c r="I33" s="545"/>
      <c r="J33" s="545"/>
      <c r="K33" s="545"/>
      <c r="L33" s="345"/>
    </row>
    <row r="34" spans="2:12">
      <c r="B34" s="345"/>
      <c r="C34" s="545"/>
      <c r="D34" s="545"/>
      <c r="E34" s="545"/>
      <c r="F34" s="545"/>
      <c r="G34" s="545"/>
      <c r="H34" s="545"/>
      <c r="I34" s="545"/>
      <c r="J34" s="545"/>
      <c r="K34" s="545"/>
      <c r="L34" s="345"/>
    </row>
    <row r="35" spans="2:12">
      <c r="B35" s="345"/>
      <c r="C35" s="545"/>
      <c r="D35" s="545"/>
      <c r="E35" s="545"/>
      <c r="F35" s="545"/>
      <c r="G35" s="545"/>
      <c r="H35" s="545"/>
      <c r="I35" s="545"/>
      <c r="J35" s="545"/>
      <c r="K35" s="545"/>
      <c r="L35" s="345"/>
    </row>
    <row r="36" spans="2:12">
      <c r="B36" s="345"/>
      <c r="C36" s="545"/>
      <c r="D36" s="545"/>
      <c r="E36" s="545"/>
      <c r="F36" s="545"/>
      <c r="G36" s="545"/>
      <c r="H36" s="545"/>
      <c r="I36" s="545"/>
      <c r="J36" s="545"/>
      <c r="K36" s="545"/>
      <c r="L36" s="345"/>
    </row>
    <row r="37" spans="2:12">
      <c r="B37" s="345"/>
      <c r="C37" s="545"/>
      <c r="D37" s="545"/>
      <c r="E37" s="545"/>
      <c r="F37" s="545"/>
      <c r="G37" s="545"/>
      <c r="H37" s="545"/>
      <c r="I37" s="545"/>
      <c r="J37" s="545"/>
      <c r="K37" s="545"/>
      <c r="L37" s="345"/>
    </row>
    <row r="38" spans="2:12">
      <c r="B38" s="345"/>
      <c r="C38" s="545"/>
      <c r="D38" s="545"/>
      <c r="E38" s="545"/>
      <c r="F38" s="545"/>
      <c r="G38" s="545"/>
      <c r="H38" s="545"/>
      <c r="I38" s="545"/>
      <c r="J38" s="545"/>
      <c r="K38" s="545"/>
      <c r="L38" s="345"/>
    </row>
    <row r="39" spans="2:12">
      <c r="B39" s="345"/>
      <c r="C39" s="545"/>
      <c r="D39" s="545"/>
      <c r="E39" s="545"/>
      <c r="F39" s="545"/>
      <c r="G39" s="545"/>
      <c r="H39" s="545"/>
      <c r="I39" s="545"/>
      <c r="J39" s="545"/>
      <c r="K39" s="545"/>
      <c r="L39" s="345"/>
    </row>
    <row r="40" spans="2:12">
      <c r="B40" s="345"/>
      <c r="C40" s="545"/>
      <c r="D40" s="545"/>
      <c r="E40" s="545"/>
      <c r="F40" s="545"/>
      <c r="G40" s="545"/>
      <c r="H40" s="545"/>
      <c r="I40" s="545"/>
      <c r="J40" s="545"/>
      <c r="K40" s="545"/>
      <c r="L40" s="345"/>
    </row>
    <row r="41" spans="2:12">
      <c r="B41" s="345"/>
      <c r="C41" s="545"/>
      <c r="D41" s="545"/>
      <c r="E41" s="545"/>
      <c r="F41" s="545"/>
      <c r="G41" s="545"/>
      <c r="H41" s="545"/>
      <c r="I41" s="545"/>
      <c r="J41" s="545"/>
      <c r="K41" s="545"/>
      <c r="L41" s="345"/>
    </row>
    <row r="42" spans="2:12">
      <c r="B42" s="345"/>
      <c r="C42" s="545"/>
      <c r="D42" s="545"/>
      <c r="E42" s="545"/>
      <c r="F42" s="545"/>
      <c r="G42" s="545"/>
      <c r="H42" s="545"/>
      <c r="I42" s="545"/>
      <c r="J42" s="545"/>
      <c r="K42" s="545"/>
      <c r="L42" s="345"/>
    </row>
    <row r="43" spans="2:12">
      <c r="B43" s="345"/>
      <c r="C43" s="545"/>
      <c r="D43" s="545"/>
      <c r="E43" s="545"/>
      <c r="F43" s="545"/>
      <c r="G43" s="545"/>
      <c r="H43" s="545"/>
      <c r="I43" s="545"/>
      <c r="J43" s="545"/>
      <c r="K43" s="545"/>
      <c r="L43" s="345"/>
    </row>
    <row r="44" spans="2:12">
      <c r="B44" s="345"/>
      <c r="C44" s="545"/>
      <c r="D44" s="545"/>
      <c r="E44" s="545"/>
      <c r="F44" s="545"/>
      <c r="G44" s="545"/>
      <c r="H44" s="545"/>
      <c r="I44" s="545"/>
      <c r="J44" s="545"/>
      <c r="K44" s="545"/>
      <c r="L44" s="345"/>
    </row>
    <row r="45" spans="2:12"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5"/>
    </row>
    <row r="46" spans="2:12">
      <c r="B46" s="345"/>
      <c r="C46" s="345"/>
      <c r="D46" s="345"/>
      <c r="E46" s="345"/>
      <c r="F46" s="345"/>
      <c r="G46" s="345"/>
      <c r="H46" s="345"/>
      <c r="I46" s="345"/>
      <c r="J46" s="345"/>
      <c r="K46" s="345"/>
      <c r="L46" s="345"/>
    </row>
  </sheetData>
  <sheetProtection algorithmName="SHA-512" hashValue="iXDEOBnd6oDrKWos614jNHAsoTY5noxMhmKVvgpBs78hmzWxfe94EdnikOOzPo54aD6W9qNbF/NjZqaJjSx+Ng==" saltValue="2weF+m8/313UVfveLtOO7w==" spinCount="100000" sheet="1" objects="1" scenarios="1" selectLockedCells="1"/>
  <mergeCells count="3">
    <mergeCell ref="C3:K5"/>
    <mergeCell ref="C6:K6"/>
    <mergeCell ref="C7:K8"/>
  </mergeCells>
  <pageMargins left="0.70866141732283472" right="0.70866141732283472" top="0.74803149606299213" bottom="0.74803149606299213" header="0.31496062992125984" footer="0.31496062992125984"/>
  <pageSetup scale="72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6" tint="-0.499984740745262"/>
  </sheetPr>
  <dimension ref="A1:O41"/>
  <sheetViews>
    <sheetView zoomScale="120" zoomScaleNormal="120" workbookViewId="0">
      <selection activeCell="F8" sqref="F8"/>
    </sheetView>
  </sheetViews>
  <sheetFormatPr baseColWidth="10" defaultColWidth="0" defaultRowHeight="12.75" zeroHeight="1"/>
  <cols>
    <col min="1" max="1" width="1.7109375" customWidth="1"/>
    <col min="2" max="2" width="12.7109375" customWidth="1"/>
    <col min="3" max="3" width="2.7109375" customWidth="1"/>
    <col min="4" max="4" width="12.7109375" customWidth="1"/>
    <col min="5" max="5" width="1.7109375" customWidth="1"/>
    <col min="6" max="6" width="12.7109375" customWidth="1"/>
    <col min="7" max="7" width="1.7109375" customWidth="1"/>
    <col min="8" max="8" width="12.7109375" customWidth="1"/>
    <col min="9" max="9" width="1.7109375" customWidth="1"/>
    <col min="10" max="10" width="12.7109375" customWidth="1"/>
    <col min="11" max="11" width="1.7109375" customWidth="1"/>
    <col min="12" max="12" width="12.7109375" customWidth="1"/>
    <col min="13" max="13" width="1.7109375" customWidth="1"/>
    <col min="14" max="15" width="2.7109375" hidden="1" customWidth="1"/>
    <col min="16" max="16384" width="11.42578125" hidden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5">
      <c r="A2" s="1"/>
      <c r="B2" s="130" t="str">
        <f>+Datos!D12</f>
        <v xml:space="preserve"> </v>
      </c>
      <c r="C2" s="131"/>
      <c r="D2" s="132" t="str">
        <f>+Datos!D13</f>
        <v xml:space="preserve"> </v>
      </c>
      <c r="E2" s="131"/>
      <c r="F2" s="130" t="str">
        <f>+Datos!D14</f>
        <v xml:space="preserve"> </v>
      </c>
      <c r="G2" s="131"/>
      <c r="H2" s="130" t="str">
        <f>+Datos!D15</f>
        <v xml:space="preserve"> </v>
      </c>
      <c r="I2" s="3"/>
      <c r="J2" s="3"/>
      <c r="K2" s="3"/>
      <c r="L2" s="134" t="s">
        <v>983</v>
      </c>
      <c r="M2" s="3"/>
    </row>
    <row r="3" spans="1:13" ht="13.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134" t="s">
        <v>16</v>
      </c>
      <c r="M3" s="3"/>
    </row>
    <row r="4" spans="1:13" ht="16.5">
      <c r="A4" s="1"/>
      <c r="B4" s="824" t="str">
        <f>+Datos!D11</f>
        <v xml:space="preserve"> </v>
      </c>
      <c r="C4" s="824"/>
      <c r="D4" s="133" t="str">
        <f>+Datos!J11</f>
        <v xml:space="preserve"> </v>
      </c>
      <c r="E4" s="3"/>
      <c r="F4" s="3"/>
      <c r="G4" s="3"/>
      <c r="H4" s="3"/>
      <c r="I4" s="3"/>
      <c r="J4" s="3"/>
      <c r="K4" s="3"/>
      <c r="L4" s="134">
        <f>+Datos!D10</f>
        <v>2025</v>
      </c>
      <c r="M4" s="3"/>
    </row>
    <row r="5" spans="1:13" ht="15.75">
      <c r="A5" s="1"/>
      <c r="B5" s="745" t="s">
        <v>184</v>
      </c>
      <c r="C5" s="745"/>
      <c r="D5" s="745"/>
      <c r="E5" s="745"/>
      <c r="F5" s="745"/>
      <c r="G5" s="745"/>
      <c r="H5" s="745"/>
      <c r="I5" s="745"/>
      <c r="J5" s="745"/>
      <c r="K5" s="3"/>
      <c r="L5" s="3"/>
      <c r="M5" s="3"/>
    </row>
    <row r="6" spans="1:13" ht="36">
      <c r="A6" s="1"/>
      <c r="B6" s="825" t="s">
        <v>49</v>
      </c>
      <c r="C6" s="826"/>
      <c r="D6" s="827"/>
      <c r="E6" s="3"/>
      <c r="F6" s="362" t="s">
        <v>50</v>
      </c>
      <c r="G6" s="363"/>
      <c r="H6" s="362" t="s">
        <v>51</v>
      </c>
      <c r="I6" s="363"/>
      <c r="J6" s="362" t="s">
        <v>52</v>
      </c>
      <c r="K6" s="363"/>
      <c r="L6" s="362" t="s">
        <v>156</v>
      </c>
      <c r="M6" s="135"/>
    </row>
    <row r="7" spans="1:13" ht="3.75" customHeigh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3.5">
      <c r="A8" s="1"/>
      <c r="B8" s="136" t="s">
        <v>53</v>
      </c>
      <c r="C8" s="137"/>
      <c r="D8" s="138"/>
      <c r="E8" s="3"/>
      <c r="F8" s="6"/>
      <c r="G8" s="4"/>
      <c r="H8" s="4"/>
      <c r="I8" s="4"/>
      <c r="J8" s="4"/>
      <c r="K8" s="4"/>
      <c r="L8" s="4"/>
      <c r="M8" s="3"/>
    </row>
    <row r="9" spans="1:13" ht="13.5">
      <c r="A9" s="1"/>
      <c r="B9" s="139" t="s">
        <v>54</v>
      </c>
      <c r="C9" s="140"/>
      <c r="D9" s="141"/>
      <c r="E9" s="3"/>
      <c r="F9" s="7"/>
      <c r="G9" s="4"/>
      <c r="H9" s="4"/>
      <c r="I9" s="4"/>
      <c r="J9" s="4"/>
      <c r="K9" s="4"/>
      <c r="L9" s="4"/>
      <c r="M9" s="3"/>
    </row>
    <row r="10" spans="1:13" ht="13.5">
      <c r="A10" s="1"/>
      <c r="B10" s="139" t="s">
        <v>55</v>
      </c>
      <c r="C10" s="140"/>
      <c r="D10" s="141"/>
      <c r="E10" s="3"/>
      <c r="F10" s="7"/>
      <c r="G10" s="4"/>
      <c r="H10" s="4"/>
      <c r="I10" s="4"/>
      <c r="J10" s="4"/>
      <c r="K10" s="4"/>
      <c r="L10" s="4"/>
      <c r="M10" s="3"/>
    </row>
    <row r="11" spans="1:13" ht="13.5">
      <c r="A11" s="1"/>
      <c r="B11" s="139" t="s">
        <v>56</v>
      </c>
      <c r="C11" s="140"/>
      <c r="D11" s="141"/>
      <c r="E11" s="3"/>
      <c r="F11" s="7"/>
      <c r="G11" s="4"/>
      <c r="H11" s="4"/>
      <c r="I11" s="4"/>
      <c r="J11" s="4"/>
      <c r="K11" s="4"/>
      <c r="L11" s="4"/>
      <c r="M11" s="3"/>
    </row>
    <row r="12" spans="1:13" ht="13.5">
      <c r="A12" s="1"/>
      <c r="B12" s="139" t="s">
        <v>57</v>
      </c>
      <c r="C12" s="140"/>
      <c r="D12" s="141"/>
      <c r="E12" s="3"/>
      <c r="F12" s="7"/>
      <c r="G12" s="4"/>
      <c r="H12" s="4"/>
      <c r="I12" s="4"/>
      <c r="J12" s="4"/>
      <c r="K12" s="4"/>
      <c r="L12" s="4"/>
      <c r="M12" s="3"/>
    </row>
    <row r="13" spans="1:13" ht="13.5">
      <c r="A13" s="1"/>
      <c r="B13" s="139" t="s">
        <v>58</v>
      </c>
      <c r="C13" s="140"/>
      <c r="D13" s="141"/>
      <c r="E13" s="3"/>
      <c r="F13" s="8"/>
      <c r="G13" s="4"/>
      <c r="H13" s="6"/>
      <c r="I13" s="4"/>
      <c r="J13" s="4"/>
      <c r="K13" s="4"/>
      <c r="L13" s="4"/>
      <c r="M13" s="3"/>
    </row>
    <row r="14" spans="1:13" ht="13.5">
      <c r="A14" s="1"/>
      <c r="B14" s="139" t="s">
        <v>72</v>
      </c>
      <c r="C14" s="140"/>
      <c r="D14" s="141"/>
      <c r="E14" s="3"/>
      <c r="F14" s="4"/>
      <c r="G14" s="4"/>
      <c r="H14" s="7"/>
      <c r="I14" s="4"/>
      <c r="J14" s="4"/>
      <c r="K14" s="4"/>
      <c r="L14" s="4"/>
      <c r="M14" s="3"/>
    </row>
    <row r="15" spans="1:13" ht="13.5">
      <c r="A15" s="1"/>
      <c r="B15" s="139" t="s">
        <v>59</v>
      </c>
      <c r="C15" s="140"/>
      <c r="D15" s="141"/>
      <c r="E15" s="3"/>
      <c r="F15" s="4"/>
      <c r="G15" s="4"/>
      <c r="H15" s="7"/>
      <c r="I15" s="4"/>
      <c r="J15" s="4"/>
      <c r="K15" s="4"/>
      <c r="L15" s="4"/>
      <c r="M15" s="3"/>
    </row>
    <row r="16" spans="1:13" ht="13.5">
      <c r="A16" s="1"/>
      <c r="B16" s="139" t="s">
        <v>60</v>
      </c>
      <c r="C16" s="140"/>
      <c r="D16" s="141"/>
      <c r="E16" s="3"/>
      <c r="F16" s="4"/>
      <c r="G16" s="4"/>
      <c r="H16" s="7"/>
      <c r="I16" s="4"/>
      <c r="J16" s="4"/>
      <c r="K16" s="4"/>
      <c r="L16" s="4"/>
      <c r="M16" s="3"/>
    </row>
    <row r="17" spans="1:13" ht="13.5">
      <c r="A17" s="1"/>
      <c r="B17" s="139" t="s">
        <v>61</v>
      </c>
      <c r="C17" s="140"/>
      <c r="D17" s="141"/>
      <c r="E17" s="3"/>
      <c r="F17" s="4"/>
      <c r="G17" s="4"/>
      <c r="H17" s="7"/>
      <c r="I17" s="4"/>
      <c r="J17" s="4"/>
      <c r="K17" s="4"/>
      <c r="L17" s="4"/>
      <c r="M17" s="3"/>
    </row>
    <row r="18" spans="1:13" ht="13.5">
      <c r="A18" s="1"/>
      <c r="B18" s="139" t="s">
        <v>62</v>
      </c>
      <c r="C18" s="140"/>
      <c r="D18" s="141"/>
      <c r="E18" s="3"/>
      <c r="F18" s="4"/>
      <c r="G18" s="4"/>
      <c r="H18" s="7"/>
      <c r="I18" s="4"/>
      <c r="J18" s="4"/>
      <c r="K18" s="4"/>
      <c r="L18" s="4"/>
      <c r="M18" s="3"/>
    </row>
    <row r="19" spans="1:13" ht="13.5">
      <c r="A19" s="1"/>
      <c r="B19" s="139" t="s">
        <v>26</v>
      </c>
      <c r="C19" s="140"/>
      <c r="D19" s="141"/>
      <c r="E19" s="3"/>
      <c r="F19" s="129"/>
      <c r="G19" s="4"/>
      <c r="H19" s="7"/>
      <c r="I19" s="4"/>
      <c r="J19" s="4"/>
      <c r="K19" s="4"/>
      <c r="L19" s="4"/>
      <c r="M19" s="3"/>
    </row>
    <row r="20" spans="1:13" ht="13.5">
      <c r="A20" s="1"/>
      <c r="B20" s="139" t="s">
        <v>63</v>
      </c>
      <c r="C20" s="140"/>
      <c r="D20" s="141"/>
      <c r="E20" s="3"/>
      <c r="F20" s="4"/>
      <c r="G20" s="4"/>
      <c r="H20" s="7"/>
      <c r="I20" s="4"/>
      <c r="J20" s="4"/>
      <c r="K20" s="4"/>
      <c r="L20" s="4"/>
      <c r="M20" s="3"/>
    </row>
    <row r="21" spans="1:13" ht="13.5">
      <c r="A21" s="1"/>
      <c r="B21" s="139" t="s">
        <v>23</v>
      </c>
      <c r="C21" s="140"/>
      <c r="D21" s="141"/>
      <c r="E21" s="3"/>
      <c r="F21" s="4"/>
      <c r="G21" s="4"/>
      <c r="H21" s="7"/>
      <c r="I21" s="4"/>
      <c r="J21" s="4"/>
      <c r="K21" s="4"/>
      <c r="L21" s="4"/>
      <c r="M21" s="3"/>
    </row>
    <row r="22" spans="1:13" ht="13.5">
      <c r="A22" s="1"/>
      <c r="B22" s="139" t="s">
        <v>27</v>
      </c>
      <c r="C22" s="140"/>
      <c r="D22" s="141"/>
      <c r="E22" s="3"/>
      <c r="F22" s="4"/>
      <c r="G22" s="4"/>
      <c r="H22" s="7"/>
      <c r="I22" s="4"/>
      <c r="J22" s="4"/>
      <c r="K22" s="4"/>
      <c r="L22" s="4"/>
      <c r="M22" s="3"/>
    </row>
    <row r="23" spans="1:13" ht="13.5">
      <c r="A23" s="1"/>
      <c r="B23" s="139" t="s">
        <v>22</v>
      </c>
      <c r="C23" s="140"/>
      <c r="D23" s="141"/>
      <c r="E23" s="3"/>
      <c r="F23" s="4"/>
      <c r="G23" s="4"/>
      <c r="H23" s="8"/>
      <c r="I23" s="4"/>
      <c r="J23" s="4"/>
      <c r="K23" s="4"/>
      <c r="L23" s="4"/>
      <c r="M23" s="3"/>
    </row>
    <row r="24" spans="1:13" ht="13.5">
      <c r="A24" s="1"/>
      <c r="B24" s="139" t="s">
        <v>64</v>
      </c>
      <c r="C24" s="140"/>
      <c r="D24" s="141"/>
      <c r="E24" s="3"/>
      <c r="F24" s="4"/>
      <c r="G24" s="4"/>
      <c r="H24" s="4"/>
      <c r="I24" s="4"/>
      <c r="J24" s="6"/>
      <c r="K24" s="4"/>
      <c r="L24" s="4"/>
      <c r="M24" s="3"/>
    </row>
    <row r="25" spans="1:13" ht="13.5">
      <c r="A25" s="1"/>
      <c r="B25" s="139" t="s">
        <v>65</v>
      </c>
      <c r="C25" s="140"/>
      <c r="D25" s="141"/>
      <c r="E25" s="3"/>
      <c r="F25" s="4"/>
      <c r="G25" s="4"/>
      <c r="H25" s="4"/>
      <c r="I25" s="4"/>
      <c r="J25" s="7"/>
      <c r="K25" s="4"/>
      <c r="L25" s="4"/>
      <c r="M25" s="3"/>
    </row>
    <row r="26" spans="1:13" ht="13.5">
      <c r="A26" s="1"/>
      <c r="B26" s="139" t="s">
        <v>66</v>
      </c>
      <c r="C26" s="140"/>
      <c r="D26" s="141"/>
      <c r="E26" s="3"/>
      <c r="F26" s="4"/>
      <c r="G26" s="4"/>
      <c r="H26" s="4"/>
      <c r="I26" s="4"/>
      <c r="J26" s="8"/>
      <c r="K26" s="4"/>
      <c r="L26" s="4"/>
      <c r="M26" s="3"/>
    </row>
    <row r="27" spans="1:13" ht="13.5">
      <c r="A27" s="1"/>
      <c r="B27" s="139" t="s">
        <v>67</v>
      </c>
      <c r="C27" s="140"/>
      <c r="D27" s="141"/>
      <c r="E27" s="3"/>
      <c r="F27" s="4"/>
      <c r="G27" s="4"/>
      <c r="H27" s="4"/>
      <c r="I27" s="4"/>
      <c r="J27" s="4"/>
      <c r="K27" s="4"/>
      <c r="L27" s="6"/>
      <c r="M27" s="3"/>
    </row>
    <row r="28" spans="1:13" ht="13.5">
      <c r="A28" s="1"/>
      <c r="B28" s="139" t="s">
        <v>68</v>
      </c>
      <c r="C28" s="140"/>
      <c r="D28" s="141"/>
      <c r="E28" s="3"/>
      <c r="F28" s="4"/>
      <c r="G28" s="4"/>
      <c r="H28" s="4"/>
      <c r="I28" s="4"/>
      <c r="J28" s="4"/>
      <c r="K28" s="4"/>
      <c r="L28" s="7"/>
      <c r="M28" s="3"/>
    </row>
    <row r="29" spans="1:13" ht="13.5">
      <c r="A29" s="1"/>
      <c r="B29" s="32" t="s">
        <v>69</v>
      </c>
      <c r="C29" s="142"/>
      <c r="D29" s="143"/>
      <c r="E29" s="3"/>
      <c r="F29" s="4"/>
      <c r="G29" s="4"/>
      <c r="H29" s="4"/>
      <c r="I29" s="4"/>
      <c r="J29" s="4"/>
      <c r="K29" s="4"/>
      <c r="L29" s="8"/>
      <c r="M29" s="3"/>
    </row>
    <row r="30" spans="1:13" ht="3" customHeight="1">
      <c r="A30" s="1"/>
      <c r="B30" s="3"/>
      <c r="C30" s="3"/>
      <c r="D30" s="3"/>
      <c r="E30" s="3"/>
      <c r="F30" s="4"/>
      <c r="G30" s="4"/>
      <c r="H30" s="4"/>
      <c r="I30" s="4"/>
      <c r="J30" s="4"/>
      <c r="K30" s="4"/>
      <c r="L30" s="4"/>
      <c r="M30" s="3"/>
    </row>
    <row r="31" spans="1:13" ht="13.5">
      <c r="A31" s="1"/>
      <c r="B31" s="679" t="s">
        <v>70</v>
      </c>
      <c r="C31" s="680"/>
      <c r="D31" s="681"/>
      <c r="E31" s="18"/>
      <c r="F31" s="116">
        <f>SUM(F8:F29)</f>
        <v>0</v>
      </c>
      <c r="G31" s="16"/>
      <c r="H31" s="116">
        <f>SUM(H8:H29)</f>
        <v>0</v>
      </c>
      <c r="I31" s="16"/>
      <c r="J31" s="116">
        <f>SUM(J8:J29)</f>
        <v>0</v>
      </c>
      <c r="K31" s="17"/>
      <c r="L31" s="116">
        <f>SUM(L8:L29)</f>
        <v>0</v>
      </c>
      <c r="M31" s="3"/>
    </row>
    <row r="32" spans="1:13" ht="3.75" customHeight="1">
      <c r="A32" s="1"/>
      <c r="B32" s="3"/>
      <c r="C32" s="3"/>
      <c r="D32" s="3"/>
      <c r="E32" s="3"/>
      <c r="F32" s="4"/>
      <c r="G32" s="4"/>
      <c r="H32" s="4"/>
      <c r="I32" s="4"/>
      <c r="J32" s="4"/>
      <c r="K32" s="4"/>
      <c r="L32" s="4"/>
      <c r="M32" s="3"/>
    </row>
    <row r="33" spans="1:13" ht="13.5">
      <c r="A33" s="1"/>
      <c r="B33" s="828" t="s">
        <v>71</v>
      </c>
      <c r="C33" s="829"/>
      <c r="D33" s="829"/>
      <c r="E33" s="12"/>
      <c r="F33" s="4"/>
      <c r="G33" s="4"/>
      <c r="H33" s="4"/>
      <c r="I33" s="4"/>
      <c r="J33" s="14">
        <f>IF(J31=0,0,+J31/F31)</f>
        <v>0</v>
      </c>
      <c r="K33" s="15"/>
      <c r="L33" s="14">
        <f>IF(L31=0,0,+L31/F31)</f>
        <v>0</v>
      </c>
      <c r="M33" s="3"/>
    </row>
    <row r="34" spans="1:13" ht="3.75" customHeight="1">
      <c r="A34" s="1"/>
      <c r="B34" s="3"/>
      <c r="C34" s="3"/>
      <c r="D34" s="3"/>
      <c r="E34" s="13"/>
      <c r="F34" s="4"/>
      <c r="G34" s="4"/>
      <c r="H34" s="4"/>
      <c r="I34" s="4"/>
      <c r="J34" s="4"/>
      <c r="K34" s="4"/>
      <c r="L34" s="4"/>
      <c r="M34" s="3"/>
    </row>
    <row r="35" spans="1:13" ht="21" customHeight="1">
      <c r="A35" s="1"/>
      <c r="B35" s="830" t="s">
        <v>1054</v>
      </c>
      <c r="C35" s="831"/>
      <c r="D35" s="831"/>
      <c r="E35" s="831"/>
      <c r="F35" s="831"/>
      <c r="G35" s="831"/>
      <c r="H35" s="831"/>
      <c r="I35" s="831"/>
      <c r="J35" s="831"/>
      <c r="K35" s="831"/>
      <c r="L35" s="832"/>
      <c r="M35" s="3"/>
    </row>
    <row r="36" spans="1:13" ht="3.75" customHeight="1">
      <c r="A36" s="1"/>
      <c r="B36" s="10"/>
      <c r="C36" s="10"/>
      <c r="D36" s="10"/>
      <c r="E36" s="11"/>
      <c r="F36" s="9"/>
      <c r="G36" s="9"/>
      <c r="H36" s="9"/>
      <c r="I36" s="9"/>
      <c r="J36" s="9"/>
      <c r="K36" s="9"/>
      <c r="L36" s="9"/>
      <c r="M36" s="3"/>
    </row>
    <row r="37" spans="1:13" ht="13.5">
      <c r="A37" s="1"/>
      <c r="B37" s="679" t="s">
        <v>74</v>
      </c>
      <c r="C37" s="680"/>
      <c r="D37" s="681"/>
      <c r="E37" s="18"/>
      <c r="F37" s="703">
        <f>ROUND((+F31+H31),-3)</f>
        <v>0</v>
      </c>
      <c r="G37" s="704"/>
      <c r="H37" s="705"/>
      <c r="I37" s="16"/>
      <c r="J37" s="116">
        <f>ROUND(+J31,-3)</f>
        <v>0</v>
      </c>
      <c r="K37" s="16"/>
      <c r="L37" s="116">
        <f>ROUND(+L31,-3)</f>
        <v>0</v>
      </c>
      <c r="M37" s="3"/>
    </row>
    <row r="38" spans="1:13" ht="3.75" customHeight="1">
      <c r="A38" s="1"/>
      <c r="B38" s="18"/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3"/>
    </row>
    <row r="39" spans="1:13" ht="13.5">
      <c r="A39" s="1"/>
      <c r="B39" s="679" t="s">
        <v>142</v>
      </c>
      <c r="C39" s="680"/>
      <c r="D39" s="681"/>
      <c r="E39" s="18"/>
      <c r="F39" s="116">
        <f>+F31+H31+J31+L31</f>
        <v>0</v>
      </c>
      <c r="G39" s="18"/>
      <c r="H39" s="679" t="s">
        <v>103</v>
      </c>
      <c r="I39" s="680"/>
      <c r="J39" s="681"/>
      <c r="K39" s="18"/>
      <c r="L39" s="116">
        <f>+F37+J37+L37</f>
        <v>0</v>
      </c>
      <c r="M39" s="13"/>
    </row>
    <row r="40" spans="1:13" ht="13.5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3.5" hidden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</sheetData>
  <sheetProtection algorithmName="SHA-512" hashValue="YZlTt2qLG0UTExkYbEJjgqjaKodTU0MTpEuRFOWdsf4bm6kct4veEUUBNhgPw9aEe8Wrn3LZuaZ6yfopS4zEqA==" saltValue="2Bs5Su8GCbgRfajSmldCGQ==" spinCount="100000" sheet="1" objects="1" scenarios="1" formatCells="0" formatColumns="0" formatRows="0" selectLockedCells="1"/>
  <mergeCells count="10">
    <mergeCell ref="B39:D39"/>
    <mergeCell ref="H39:J39"/>
    <mergeCell ref="B37:D37"/>
    <mergeCell ref="F37:H37"/>
    <mergeCell ref="B35:L35"/>
    <mergeCell ref="B4:C4"/>
    <mergeCell ref="B5:J5"/>
    <mergeCell ref="B6:D6"/>
    <mergeCell ref="B31:D31"/>
    <mergeCell ref="B33:D33"/>
  </mergeCells>
  <phoneticPr fontId="8" type="noConversion"/>
  <printOptions horizontalCentered="1" verticalCentered="1"/>
  <pageMargins left="0.59055118110236227" right="0.59055118110236227" top="0.98425196850393704" bottom="0.39370078740157483" header="0" footer="0"/>
  <pageSetup orientation="portrait" r:id="rId1"/>
  <headerFooter alignWithMargins="0">
    <oddFooter>&amp;L&amp;A&amp;CPágina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R46"/>
  <sheetViews>
    <sheetView showGridLines="0" showRowColHeaders="0" zoomScale="120" zoomScaleNormal="120" workbookViewId="0">
      <selection activeCell="F12" sqref="F12"/>
    </sheetView>
  </sheetViews>
  <sheetFormatPr baseColWidth="10" defaultRowHeight="12.75"/>
  <cols>
    <col min="1" max="1" width="2.7109375" customWidth="1"/>
    <col min="2" max="2" width="13.7109375" customWidth="1"/>
    <col min="3" max="3" width="3.7109375" customWidth="1"/>
    <col min="4" max="4" width="13.7109375" customWidth="1"/>
    <col min="5" max="5" width="0.85546875" customWidth="1"/>
    <col min="6" max="6" width="13.7109375" customWidth="1"/>
    <col min="7" max="7" width="0.85546875" customWidth="1"/>
    <col min="8" max="8" width="13.7109375" customWidth="1"/>
    <col min="9" max="9" width="0.85546875" customWidth="1"/>
    <col min="10" max="10" width="13.7109375" customWidth="1"/>
    <col min="11" max="13" width="0.85546875" customWidth="1"/>
    <col min="14" max="14" width="13.7109375" customWidth="1"/>
    <col min="15" max="15" width="0.85546875" customWidth="1"/>
    <col min="16" max="16" width="14.7109375" customWidth="1"/>
    <col min="17" max="18" width="1.7109375" customWidth="1"/>
  </cols>
  <sheetData>
    <row r="1" spans="1:18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0"/>
    </row>
    <row r="2" spans="1:18">
      <c r="A2" s="21"/>
      <c r="B2" s="481" t="str">
        <f>+Datos!D12</f>
        <v xml:space="preserve"> </v>
      </c>
      <c r="C2" s="26"/>
      <c r="D2" s="17" t="str">
        <f>+Datos!D13</f>
        <v xml:space="preserve"> </v>
      </c>
      <c r="E2" s="26"/>
      <c r="F2" s="481" t="str">
        <f>+Datos!D14</f>
        <v xml:space="preserve"> </v>
      </c>
      <c r="G2" s="26"/>
      <c r="H2" s="481" t="str">
        <f>+Datos!D15</f>
        <v xml:space="preserve"> </v>
      </c>
      <c r="I2" s="26"/>
      <c r="J2" s="26"/>
      <c r="K2" s="26"/>
      <c r="L2" s="26"/>
      <c r="M2" s="26"/>
      <c r="N2" s="26"/>
      <c r="O2" s="26"/>
      <c r="P2" s="134" t="s">
        <v>1101</v>
      </c>
      <c r="Q2" s="18"/>
      <c r="R2" s="20"/>
    </row>
    <row r="3" spans="1:18" ht="7.5" customHeight="1">
      <c r="A3" s="21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8"/>
      <c r="R3" s="20"/>
    </row>
    <row r="4" spans="1:18">
      <c r="A4" s="21"/>
      <c r="B4" s="481"/>
      <c r="C4" s="481"/>
      <c r="D4" s="481"/>
      <c r="E4" s="481"/>
      <c r="F4" s="481"/>
      <c r="G4" s="481"/>
      <c r="H4" s="481"/>
      <c r="I4" s="26"/>
      <c r="J4" s="26"/>
      <c r="K4" s="26"/>
      <c r="L4" s="26"/>
      <c r="M4" s="26"/>
      <c r="N4" s="26"/>
      <c r="O4" s="26"/>
      <c r="P4" s="134" t="s">
        <v>16</v>
      </c>
      <c r="Q4" s="18"/>
      <c r="R4" s="20"/>
    </row>
    <row r="5" spans="1:18" ht="7.5" customHeight="1">
      <c r="A5" s="21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8"/>
      <c r="R5" s="20"/>
    </row>
    <row r="6" spans="1:18">
      <c r="A6" s="21"/>
      <c r="B6" s="481" t="str">
        <f>+Datos!D11</f>
        <v xml:space="preserve"> </v>
      </c>
      <c r="C6" s="481">
        <f>+[1]Portada!J12</f>
        <v>0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134">
        <f>+Datos!D10</f>
        <v>2025</v>
      </c>
      <c r="Q6" s="18"/>
      <c r="R6" s="20"/>
    </row>
    <row r="7" spans="1:18" ht="7.5" customHeight="1">
      <c r="A7" s="21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8"/>
      <c r="R7" s="20"/>
    </row>
    <row r="8" spans="1:18" ht="21" customHeight="1">
      <c r="A8" s="21"/>
      <c r="B8" s="856" t="s">
        <v>1058</v>
      </c>
      <c r="C8" s="856"/>
      <c r="D8" s="856"/>
      <c r="E8" s="856"/>
      <c r="F8" s="856"/>
      <c r="G8" s="856"/>
      <c r="H8" s="856"/>
      <c r="I8" s="856"/>
      <c r="J8" s="856"/>
      <c r="K8" s="26"/>
      <c r="L8" s="26"/>
      <c r="M8" s="26"/>
      <c r="N8" s="26"/>
      <c r="O8" s="26"/>
      <c r="P8" s="26"/>
      <c r="Q8" s="18"/>
      <c r="R8" s="20"/>
    </row>
    <row r="9" spans="1:18">
      <c r="A9" s="21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8"/>
      <c r="R9" s="20"/>
    </row>
    <row r="10" spans="1:18" ht="40.5">
      <c r="A10" s="21"/>
      <c r="B10" s="857" t="s">
        <v>49</v>
      </c>
      <c r="C10" s="858"/>
      <c r="D10" s="859"/>
      <c r="E10" s="26"/>
      <c r="F10" s="173" t="s">
        <v>1055</v>
      </c>
      <c r="G10" s="26"/>
      <c r="H10" s="173" t="s">
        <v>1056</v>
      </c>
      <c r="I10" s="26"/>
      <c r="J10" s="173" t="s">
        <v>1057</v>
      </c>
      <c r="K10" s="26"/>
      <c r="L10" s="26"/>
      <c r="M10" s="26"/>
      <c r="N10" s="173" t="s">
        <v>1017</v>
      </c>
      <c r="O10" s="26"/>
      <c r="P10" s="173" t="s">
        <v>1018</v>
      </c>
      <c r="Q10" s="160"/>
      <c r="R10" s="20"/>
    </row>
    <row r="11" spans="1:18" ht="18">
      <c r="A11" s="482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18"/>
      <c r="R11" s="20"/>
    </row>
    <row r="12" spans="1:18">
      <c r="A12" s="29">
        <v>1</v>
      </c>
      <c r="B12" s="860" t="s">
        <v>1019</v>
      </c>
      <c r="C12" s="861"/>
      <c r="D12" s="862"/>
      <c r="E12" s="483"/>
      <c r="F12" s="495"/>
      <c r="G12" s="484"/>
      <c r="H12" s="495"/>
      <c r="I12" s="484"/>
      <c r="J12" s="495"/>
      <c r="K12" s="484"/>
      <c r="L12" s="484"/>
      <c r="M12" s="484"/>
      <c r="N12" s="514" t="str">
        <f>IF(P12=Nómina!F39,"  ","Dif. Con anexo 6")</f>
        <v xml:space="preserve">  </v>
      </c>
      <c r="O12" s="484"/>
      <c r="P12" s="496">
        <f>+F12+H12+J12</f>
        <v>0</v>
      </c>
      <c r="Q12" s="483"/>
      <c r="R12" s="485"/>
    </row>
    <row r="13" spans="1:18">
      <c r="A13" s="29">
        <v>2</v>
      </c>
      <c r="B13" s="849" t="s">
        <v>165</v>
      </c>
      <c r="C13" s="850"/>
      <c r="D13" s="851"/>
      <c r="E13" s="483"/>
      <c r="F13" s="497"/>
      <c r="G13" s="484"/>
      <c r="H13" s="497"/>
      <c r="I13" s="484"/>
      <c r="J13" s="497"/>
      <c r="K13" s="484"/>
      <c r="L13" s="484"/>
      <c r="M13" s="484"/>
      <c r="N13" s="498"/>
      <c r="O13" s="484"/>
      <c r="P13" s="499">
        <f>+F13+H13+J13+N13</f>
        <v>0</v>
      </c>
      <c r="Q13" s="483"/>
      <c r="R13" s="485"/>
    </row>
    <row r="14" spans="1:18">
      <c r="A14" s="29">
        <v>3</v>
      </c>
      <c r="B14" s="849" t="s">
        <v>1020</v>
      </c>
      <c r="C14" s="850"/>
      <c r="D14" s="851"/>
      <c r="E14" s="483"/>
      <c r="F14" s="497"/>
      <c r="G14" s="484"/>
      <c r="H14" s="497"/>
      <c r="I14" s="484"/>
      <c r="J14" s="497"/>
      <c r="K14" s="484"/>
      <c r="L14" s="484"/>
      <c r="M14" s="484"/>
      <c r="N14" s="498"/>
      <c r="O14" s="484"/>
      <c r="P14" s="499">
        <f t="shared" ref="P14:P31" si="0">+F14+H14+J14+N14</f>
        <v>0</v>
      </c>
      <c r="Q14" s="483"/>
      <c r="R14" s="485"/>
    </row>
    <row r="15" spans="1:18">
      <c r="A15" s="29">
        <v>4</v>
      </c>
      <c r="B15" s="849" t="s">
        <v>168</v>
      </c>
      <c r="C15" s="850"/>
      <c r="D15" s="851"/>
      <c r="E15" s="483"/>
      <c r="F15" s="497"/>
      <c r="G15" s="484"/>
      <c r="H15" s="497"/>
      <c r="I15" s="484"/>
      <c r="J15" s="497"/>
      <c r="K15" s="484"/>
      <c r="L15" s="484"/>
      <c r="M15" s="484"/>
      <c r="N15" s="498"/>
      <c r="O15" s="484"/>
      <c r="P15" s="499">
        <f t="shared" si="0"/>
        <v>0</v>
      </c>
      <c r="Q15" s="483"/>
      <c r="R15" s="485"/>
    </row>
    <row r="16" spans="1:18">
      <c r="A16" s="29">
        <v>5</v>
      </c>
      <c r="B16" s="849" t="s">
        <v>1022</v>
      </c>
      <c r="C16" s="850"/>
      <c r="D16" s="851"/>
      <c r="E16" s="483"/>
      <c r="F16" s="497"/>
      <c r="G16" s="484"/>
      <c r="H16" s="497"/>
      <c r="I16" s="484"/>
      <c r="J16" s="497"/>
      <c r="K16" s="484"/>
      <c r="L16" s="484"/>
      <c r="M16" s="484"/>
      <c r="N16" s="498"/>
      <c r="O16" s="484"/>
      <c r="P16" s="499">
        <f t="shared" si="0"/>
        <v>0</v>
      </c>
      <c r="Q16" s="483"/>
      <c r="R16" s="485"/>
    </row>
    <row r="17" spans="1:18">
      <c r="A17" s="29">
        <v>6</v>
      </c>
      <c r="B17" s="849" t="s">
        <v>1023</v>
      </c>
      <c r="C17" s="850"/>
      <c r="D17" s="851"/>
      <c r="E17" s="483"/>
      <c r="F17" s="497"/>
      <c r="G17" s="484"/>
      <c r="H17" s="497"/>
      <c r="I17" s="484"/>
      <c r="J17" s="497"/>
      <c r="K17" s="484"/>
      <c r="L17" s="484"/>
      <c r="M17" s="484"/>
      <c r="N17" s="498"/>
      <c r="O17" s="484"/>
      <c r="P17" s="499">
        <f t="shared" si="0"/>
        <v>0</v>
      </c>
      <c r="Q17" s="483"/>
      <c r="R17" s="485"/>
    </row>
    <row r="18" spans="1:18">
      <c r="A18" s="29">
        <v>7</v>
      </c>
      <c r="B18" s="849" t="s">
        <v>1024</v>
      </c>
      <c r="C18" s="850"/>
      <c r="D18" s="851"/>
      <c r="E18" s="483"/>
      <c r="F18" s="497"/>
      <c r="G18" s="484"/>
      <c r="H18" s="497"/>
      <c r="I18" s="484"/>
      <c r="J18" s="497"/>
      <c r="K18" s="484"/>
      <c r="L18" s="484"/>
      <c r="M18" s="484"/>
      <c r="N18" s="498"/>
      <c r="O18" s="484"/>
      <c r="P18" s="499">
        <f t="shared" si="0"/>
        <v>0</v>
      </c>
      <c r="Q18" s="483"/>
      <c r="R18" s="485"/>
    </row>
    <row r="19" spans="1:18">
      <c r="A19" s="29">
        <v>8</v>
      </c>
      <c r="B19" s="849" t="s">
        <v>1025</v>
      </c>
      <c r="C19" s="850"/>
      <c r="D19" s="851"/>
      <c r="E19" s="483"/>
      <c r="F19" s="497"/>
      <c r="G19" s="484"/>
      <c r="H19" s="497"/>
      <c r="I19" s="484"/>
      <c r="J19" s="497"/>
      <c r="K19" s="484"/>
      <c r="L19" s="484"/>
      <c r="M19" s="484"/>
      <c r="N19" s="498"/>
      <c r="O19" s="484"/>
      <c r="P19" s="499">
        <f t="shared" si="0"/>
        <v>0</v>
      </c>
      <c r="Q19" s="483"/>
      <c r="R19" s="485"/>
    </row>
    <row r="20" spans="1:18">
      <c r="A20" s="29">
        <v>9</v>
      </c>
      <c r="B20" s="849" t="s">
        <v>1026</v>
      </c>
      <c r="C20" s="850"/>
      <c r="D20" s="851"/>
      <c r="E20" s="483"/>
      <c r="F20" s="497"/>
      <c r="G20" s="484"/>
      <c r="H20" s="497"/>
      <c r="I20" s="484"/>
      <c r="J20" s="497"/>
      <c r="K20" s="484"/>
      <c r="L20" s="484"/>
      <c r="M20" s="484"/>
      <c r="N20" s="498"/>
      <c r="O20" s="484"/>
      <c r="P20" s="499">
        <f t="shared" si="0"/>
        <v>0</v>
      </c>
      <c r="Q20" s="483"/>
      <c r="R20" s="485"/>
    </row>
    <row r="21" spans="1:18">
      <c r="A21" s="29">
        <v>10</v>
      </c>
      <c r="B21" s="849" t="s">
        <v>1027</v>
      </c>
      <c r="C21" s="850"/>
      <c r="D21" s="851"/>
      <c r="E21" s="483"/>
      <c r="F21" s="497"/>
      <c r="G21" s="484"/>
      <c r="H21" s="497"/>
      <c r="I21" s="484"/>
      <c r="J21" s="497"/>
      <c r="K21" s="484"/>
      <c r="L21" s="484"/>
      <c r="M21" s="484"/>
      <c r="N21" s="498"/>
      <c r="O21" s="484"/>
      <c r="P21" s="499">
        <f t="shared" si="0"/>
        <v>0</v>
      </c>
      <c r="Q21" s="483"/>
      <c r="R21" s="485"/>
    </row>
    <row r="22" spans="1:18">
      <c r="A22" s="29">
        <v>11</v>
      </c>
      <c r="B22" s="849" t="s">
        <v>1028</v>
      </c>
      <c r="C22" s="850"/>
      <c r="D22" s="851"/>
      <c r="E22" s="483"/>
      <c r="F22" s="497"/>
      <c r="G22" s="484"/>
      <c r="H22" s="497"/>
      <c r="I22" s="484"/>
      <c r="J22" s="497"/>
      <c r="K22" s="484"/>
      <c r="L22" s="484"/>
      <c r="M22" s="484"/>
      <c r="N22" s="498"/>
      <c r="O22" s="484"/>
      <c r="P22" s="499">
        <f t="shared" si="0"/>
        <v>0</v>
      </c>
      <c r="Q22" s="483"/>
      <c r="R22" s="485"/>
    </row>
    <row r="23" spans="1:18">
      <c r="A23" s="29">
        <v>12</v>
      </c>
      <c r="B23" s="849" t="s">
        <v>1029</v>
      </c>
      <c r="C23" s="850"/>
      <c r="D23" s="851"/>
      <c r="E23" s="483"/>
      <c r="F23" s="497"/>
      <c r="G23" s="484"/>
      <c r="H23" s="497"/>
      <c r="I23" s="484"/>
      <c r="J23" s="497"/>
      <c r="K23" s="484"/>
      <c r="L23" s="484"/>
      <c r="M23" s="484"/>
      <c r="N23" s="498"/>
      <c r="O23" s="484"/>
      <c r="P23" s="499">
        <f t="shared" si="0"/>
        <v>0</v>
      </c>
      <c r="Q23" s="483"/>
      <c r="R23" s="485"/>
    </row>
    <row r="24" spans="1:18">
      <c r="A24" s="29">
        <v>13</v>
      </c>
      <c r="B24" s="849" t="s">
        <v>1030</v>
      </c>
      <c r="C24" s="850"/>
      <c r="D24" s="851"/>
      <c r="E24" s="483"/>
      <c r="F24" s="497"/>
      <c r="G24" s="484"/>
      <c r="H24" s="497"/>
      <c r="I24" s="484"/>
      <c r="J24" s="497"/>
      <c r="K24" s="484"/>
      <c r="L24" s="484"/>
      <c r="M24" s="484"/>
      <c r="N24" s="498"/>
      <c r="O24" s="484"/>
      <c r="P24" s="499">
        <f t="shared" si="0"/>
        <v>0</v>
      </c>
      <c r="Q24" s="483"/>
      <c r="R24" s="485"/>
    </row>
    <row r="25" spans="1:18">
      <c r="A25" s="29">
        <v>14</v>
      </c>
      <c r="B25" s="849" t="s">
        <v>1031</v>
      </c>
      <c r="C25" s="850"/>
      <c r="D25" s="851"/>
      <c r="E25" s="483"/>
      <c r="F25" s="497"/>
      <c r="G25" s="484"/>
      <c r="H25" s="497"/>
      <c r="I25" s="484"/>
      <c r="J25" s="497"/>
      <c r="K25" s="484"/>
      <c r="L25" s="484"/>
      <c r="M25" s="484"/>
      <c r="N25" s="498"/>
      <c r="O25" s="484"/>
      <c r="P25" s="499">
        <f t="shared" si="0"/>
        <v>0</v>
      </c>
      <c r="Q25" s="483"/>
      <c r="R25" s="485"/>
    </row>
    <row r="26" spans="1:18">
      <c r="A26" s="29">
        <v>15</v>
      </c>
      <c r="B26" s="849" t="s">
        <v>1032</v>
      </c>
      <c r="C26" s="850"/>
      <c r="D26" s="851"/>
      <c r="E26" s="483"/>
      <c r="F26" s="497"/>
      <c r="G26" s="484"/>
      <c r="H26" s="497"/>
      <c r="I26" s="484"/>
      <c r="J26" s="497"/>
      <c r="K26" s="484"/>
      <c r="L26" s="484"/>
      <c r="M26" s="484"/>
      <c r="N26" s="498"/>
      <c r="O26" s="484"/>
      <c r="P26" s="499">
        <f t="shared" si="0"/>
        <v>0</v>
      </c>
      <c r="Q26" s="483"/>
      <c r="R26" s="485"/>
    </row>
    <row r="27" spans="1:18">
      <c r="A27" s="29">
        <v>16</v>
      </c>
      <c r="B27" s="849" t="s">
        <v>1033</v>
      </c>
      <c r="C27" s="850"/>
      <c r="D27" s="851"/>
      <c r="E27" s="483"/>
      <c r="F27" s="497"/>
      <c r="G27" s="484"/>
      <c r="H27" s="497"/>
      <c r="I27" s="484"/>
      <c r="J27" s="497"/>
      <c r="K27" s="484"/>
      <c r="L27" s="484"/>
      <c r="M27" s="484"/>
      <c r="N27" s="498"/>
      <c r="O27" s="484"/>
      <c r="P27" s="499">
        <f t="shared" si="0"/>
        <v>0</v>
      </c>
      <c r="Q27" s="483"/>
      <c r="R27" s="485"/>
    </row>
    <row r="28" spans="1:18">
      <c r="A28" s="29">
        <v>17</v>
      </c>
      <c r="B28" s="849" t="s">
        <v>1034</v>
      </c>
      <c r="C28" s="850"/>
      <c r="D28" s="851"/>
      <c r="E28" s="483"/>
      <c r="F28" s="497"/>
      <c r="G28" s="484"/>
      <c r="H28" s="497"/>
      <c r="I28" s="484"/>
      <c r="J28" s="497"/>
      <c r="K28" s="484"/>
      <c r="L28" s="484"/>
      <c r="M28" s="484"/>
      <c r="N28" s="498"/>
      <c r="O28" s="484"/>
      <c r="P28" s="499">
        <f t="shared" si="0"/>
        <v>0</v>
      </c>
      <c r="Q28" s="483"/>
      <c r="R28" s="485"/>
    </row>
    <row r="29" spans="1:18">
      <c r="A29" s="29">
        <v>18</v>
      </c>
      <c r="B29" s="849" t="s">
        <v>1035</v>
      </c>
      <c r="C29" s="850"/>
      <c r="D29" s="851"/>
      <c r="E29" s="483"/>
      <c r="F29" s="497"/>
      <c r="G29" s="484"/>
      <c r="H29" s="497"/>
      <c r="I29" s="484"/>
      <c r="J29" s="497"/>
      <c r="K29" s="484"/>
      <c r="L29" s="484"/>
      <c r="M29" s="484"/>
      <c r="N29" s="498"/>
      <c r="O29" s="484"/>
      <c r="P29" s="499">
        <f t="shared" si="0"/>
        <v>0</v>
      </c>
      <c r="Q29" s="483"/>
      <c r="R29" s="485"/>
    </row>
    <row r="30" spans="1:18">
      <c r="A30" s="29">
        <v>19</v>
      </c>
      <c r="B30" s="849"/>
      <c r="C30" s="850"/>
      <c r="D30" s="851"/>
      <c r="E30" s="483"/>
      <c r="F30" s="497"/>
      <c r="G30" s="484"/>
      <c r="H30" s="497"/>
      <c r="I30" s="484"/>
      <c r="J30" s="497"/>
      <c r="K30" s="484"/>
      <c r="L30" s="484"/>
      <c r="M30" s="484"/>
      <c r="N30" s="498"/>
      <c r="O30" s="484"/>
      <c r="P30" s="499">
        <f t="shared" si="0"/>
        <v>0</v>
      </c>
      <c r="Q30" s="483"/>
      <c r="R30" s="485"/>
    </row>
    <row r="31" spans="1:18">
      <c r="A31" s="29">
        <v>20</v>
      </c>
      <c r="B31" s="852"/>
      <c r="C31" s="853"/>
      <c r="D31" s="854"/>
      <c r="E31" s="483"/>
      <c r="F31" s="515"/>
      <c r="G31" s="484"/>
      <c r="H31" s="515"/>
      <c r="I31" s="484"/>
      <c r="J31" s="515"/>
      <c r="K31" s="484"/>
      <c r="L31" s="484"/>
      <c r="M31" s="484"/>
      <c r="N31" s="516"/>
      <c r="O31" s="484"/>
      <c r="P31" s="517">
        <f t="shared" si="0"/>
        <v>0</v>
      </c>
      <c r="Q31" s="483"/>
      <c r="R31" s="485"/>
    </row>
    <row r="32" spans="1:18">
      <c r="A32" s="29"/>
      <c r="B32" s="855"/>
      <c r="C32" s="855"/>
      <c r="D32" s="855"/>
      <c r="E32" s="483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4"/>
      <c r="Q32" s="483"/>
      <c r="R32" s="485"/>
    </row>
    <row r="33" spans="1:18">
      <c r="A33" s="29"/>
      <c r="B33" s="846" t="s">
        <v>70</v>
      </c>
      <c r="C33" s="847"/>
      <c r="D33" s="848"/>
      <c r="E33" s="486"/>
      <c r="F33" s="500">
        <f>SUM(F12:F31)</f>
        <v>0</v>
      </c>
      <c r="G33" s="487"/>
      <c r="H33" s="501">
        <f>SUM(H12:H31)</f>
        <v>0</v>
      </c>
      <c r="I33" s="487"/>
      <c r="J33" s="501">
        <f>SUM(J12:J31)</f>
        <v>0</v>
      </c>
      <c r="K33" s="487"/>
      <c r="L33" s="487"/>
      <c r="M33" s="487"/>
      <c r="N33" s="500">
        <f>SUM(N12:N31)</f>
        <v>0</v>
      </c>
      <c r="O33" s="487"/>
      <c r="P33" s="500">
        <f>SUM(P12:P31)</f>
        <v>0</v>
      </c>
      <c r="Q33" s="483"/>
      <c r="R33" s="485"/>
    </row>
    <row r="34" spans="1:18" ht="7.5" customHeight="1">
      <c r="A34" s="29"/>
      <c r="B34" s="833"/>
      <c r="C34" s="833"/>
      <c r="D34" s="833"/>
      <c r="E34" s="363"/>
      <c r="F34" s="488"/>
      <c r="G34" s="363"/>
      <c r="H34" s="834"/>
      <c r="I34" s="834"/>
      <c r="J34" s="834"/>
      <c r="K34" s="834"/>
      <c r="L34" s="834"/>
      <c r="M34" s="363"/>
      <c r="N34" s="363"/>
      <c r="O34" s="363"/>
      <c r="P34" s="489"/>
      <c r="Q34" s="483"/>
      <c r="R34" s="485"/>
    </row>
    <row r="35" spans="1:18">
      <c r="A35" s="29"/>
      <c r="B35" s="835" t="s">
        <v>73</v>
      </c>
      <c r="C35" s="836"/>
      <c r="D35" s="837"/>
      <c r="E35" s="486"/>
      <c r="F35" s="502">
        <v>45</v>
      </c>
      <c r="G35" s="486"/>
      <c r="H35" s="503">
        <v>60</v>
      </c>
      <c r="I35" s="486"/>
      <c r="J35" s="504">
        <v>77</v>
      </c>
      <c r="K35" s="486"/>
      <c r="L35" s="486"/>
      <c r="M35" s="363"/>
      <c r="N35" s="363"/>
      <c r="O35" s="363"/>
      <c r="P35" s="838" t="s">
        <v>1021</v>
      </c>
      <c r="Q35" s="483"/>
      <c r="R35" s="485"/>
    </row>
    <row r="36" spans="1:18" ht="7.5" customHeight="1">
      <c r="A36" s="29"/>
      <c r="B36" s="833"/>
      <c r="C36" s="833"/>
      <c r="D36" s="833"/>
      <c r="E36" s="490"/>
      <c r="F36" s="489"/>
      <c r="G36" s="363"/>
      <c r="H36" s="489"/>
      <c r="I36" s="363"/>
      <c r="J36" s="489"/>
      <c r="K36" s="363"/>
      <c r="L36" s="363"/>
      <c r="M36" s="363"/>
      <c r="N36" s="363"/>
      <c r="O36" s="363"/>
      <c r="P36" s="839"/>
      <c r="Q36" s="483"/>
      <c r="R36" s="485"/>
    </row>
    <row r="37" spans="1:18">
      <c r="A37" s="29"/>
      <c r="B37" s="841" t="s">
        <v>74</v>
      </c>
      <c r="C37" s="842"/>
      <c r="D37" s="843"/>
      <c r="E37" s="486"/>
      <c r="F37" s="505">
        <f>+Rentas!H86</f>
        <v>0</v>
      </c>
      <c r="G37" s="486"/>
      <c r="H37" s="505">
        <f>+Rentas!J86</f>
        <v>0</v>
      </c>
      <c r="I37" s="486"/>
      <c r="J37" s="505">
        <f>+Rentas!L86</f>
        <v>0</v>
      </c>
      <c r="K37" s="486"/>
      <c r="L37" s="486"/>
      <c r="M37" s="486"/>
      <c r="N37" s="486"/>
      <c r="O37" s="486"/>
      <c r="P37" s="839"/>
      <c r="Q37" s="483"/>
      <c r="R37" s="485"/>
    </row>
    <row r="38" spans="1:18">
      <c r="A38" s="29"/>
      <c r="B38" s="844"/>
      <c r="C38" s="844"/>
      <c r="D38" s="844"/>
      <c r="E38" s="486"/>
      <c r="F38" s="491"/>
      <c r="G38" s="486"/>
      <c r="H38" s="491"/>
      <c r="I38" s="486"/>
      <c r="J38" s="491"/>
      <c r="K38" s="486"/>
      <c r="L38" s="486"/>
      <c r="M38" s="486"/>
      <c r="N38" s="486"/>
      <c r="O38" s="486"/>
      <c r="P38" s="839"/>
      <c r="Q38" s="483"/>
      <c r="R38" s="485"/>
    </row>
    <row r="39" spans="1:18">
      <c r="A39" s="491"/>
      <c r="B39" s="491"/>
      <c r="C39" s="491"/>
      <c r="D39" s="491"/>
      <c r="E39" s="491"/>
      <c r="F39" s="845" t="str">
        <f>IF(F33=F37,"  ","No cuadra con dato en Rentas")</f>
        <v xml:space="preserve">  </v>
      </c>
      <c r="G39" s="491"/>
      <c r="H39" s="845" t="str">
        <f>IF(H33=H37,"  ","No cuadra con dato en Rentas")</f>
        <v xml:space="preserve">  </v>
      </c>
      <c r="I39" s="491"/>
      <c r="J39" s="845" t="str">
        <f>IF(J33=J37,"  ","No cuadra con dato en Rentas")</f>
        <v xml:space="preserve">  </v>
      </c>
      <c r="K39" s="491"/>
      <c r="L39" s="486"/>
      <c r="M39" s="486"/>
      <c r="N39" s="486"/>
      <c r="O39" s="486"/>
      <c r="P39" s="840"/>
      <c r="Q39" s="483"/>
      <c r="R39" s="485"/>
    </row>
    <row r="40" spans="1:18">
      <c r="A40" s="491"/>
      <c r="B40" s="491"/>
      <c r="C40" s="491"/>
      <c r="D40" s="491"/>
      <c r="E40" s="491"/>
      <c r="F40" s="845"/>
      <c r="G40" s="491"/>
      <c r="H40" s="845"/>
      <c r="I40" s="491"/>
      <c r="J40" s="845"/>
      <c r="K40" s="491"/>
      <c r="L40" s="486"/>
      <c r="M40" s="486"/>
      <c r="N40" s="486"/>
      <c r="O40" s="486"/>
      <c r="P40" s="491"/>
      <c r="Q40" s="483"/>
      <c r="R40" s="485"/>
    </row>
    <row r="41" spans="1:18">
      <c r="A41" s="491"/>
      <c r="B41" s="491"/>
      <c r="C41" s="491"/>
      <c r="D41" s="491"/>
      <c r="E41" s="491"/>
      <c r="F41" s="491"/>
      <c r="G41" s="491"/>
      <c r="H41" s="491"/>
      <c r="I41" s="491"/>
      <c r="J41" s="491"/>
      <c r="K41" s="491"/>
      <c r="L41" s="486"/>
      <c r="M41" s="486"/>
      <c r="N41" s="486"/>
      <c r="O41" s="486"/>
      <c r="P41" s="506">
        <f>+F37+H37+J37</f>
        <v>0</v>
      </c>
      <c r="Q41" s="483"/>
      <c r="R41" s="485"/>
    </row>
    <row r="42" spans="1:18">
      <c r="A42" s="491"/>
      <c r="B42" s="491"/>
      <c r="C42" s="491"/>
      <c r="D42" s="491"/>
      <c r="E42" s="491"/>
      <c r="F42" s="491"/>
      <c r="G42" s="491"/>
      <c r="H42" s="491"/>
      <c r="I42" s="491"/>
      <c r="J42" s="491"/>
      <c r="K42" s="491"/>
      <c r="L42" s="483"/>
      <c r="M42" s="483"/>
      <c r="N42" s="483"/>
      <c r="O42" s="483"/>
      <c r="P42" s="492"/>
      <c r="Q42" s="483"/>
      <c r="R42" s="485"/>
    </row>
    <row r="43" spans="1:18">
      <c r="A43" s="491"/>
      <c r="B43" s="491"/>
      <c r="C43" s="491"/>
      <c r="D43" s="491"/>
      <c r="E43" s="491"/>
      <c r="F43" s="491"/>
      <c r="G43" s="491"/>
      <c r="H43" s="491"/>
      <c r="I43" s="491"/>
      <c r="J43" s="491"/>
      <c r="K43" s="491"/>
      <c r="L43" s="483"/>
      <c r="M43" s="493"/>
      <c r="N43" s="507" t="s">
        <v>73</v>
      </c>
      <c r="O43" s="493"/>
      <c r="P43" s="507">
        <v>67</v>
      </c>
      <c r="Q43" s="483"/>
      <c r="R43" s="485"/>
    </row>
    <row r="44" spans="1:18">
      <c r="A44" s="491"/>
      <c r="B44" s="491"/>
      <c r="C44" s="491"/>
      <c r="D44" s="491"/>
      <c r="E44" s="491"/>
      <c r="F44" s="491"/>
      <c r="G44" s="491"/>
      <c r="H44" s="491"/>
      <c r="I44" s="491"/>
      <c r="J44" s="491"/>
      <c r="K44" s="491"/>
      <c r="L44" s="483"/>
      <c r="M44" s="483"/>
      <c r="N44" s="483"/>
      <c r="O44" s="483"/>
      <c r="P44" s="492"/>
      <c r="Q44" s="483"/>
      <c r="R44" s="485"/>
    </row>
    <row r="45" spans="1:18">
      <c r="A45" s="491"/>
      <c r="B45" s="491"/>
      <c r="C45" s="491"/>
      <c r="D45" s="491"/>
      <c r="E45" s="491"/>
      <c r="F45" s="491"/>
      <c r="G45" s="491"/>
      <c r="H45" s="491"/>
      <c r="I45" s="491"/>
      <c r="J45" s="491"/>
      <c r="K45" s="491"/>
      <c r="L45" s="483"/>
      <c r="M45" s="486"/>
      <c r="N45" s="486"/>
      <c r="O45" s="486"/>
      <c r="P45" s="486"/>
      <c r="Q45" s="483"/>
      <c r="R45" s="485"/>
    </row>
    <row r="46" spans="1:18">
      <c r="A46" s="20"/>
      <c r="B46" s="20"/>
      <c r="C46" s="20"/>
      <c r="D46" s="20"/>
      <c r="E46" s="20"/>
      <c r="F46" s="494"/>
      <c r="G46" s="494"/>
      <c r="H46" s="494"/>
      <c r="I46" s="494"/>
      <c r="J46" s="494"/>
      <c r="K46" s="494"/>
      <c r="L46" s="494"/>
      <c r="M46" s="494"/>
      <c r="N46" s="494"/>
      <c r="O46" s="494"/>
      <c r="P46" s="494"/>
      <c r="Q46" s="20"/>
      <c r="R46" s="20"/>
    </row>
  </sheetData>
  <sheetProtection algorithmName="SHA-512" hashValue="8rauCcLpZ2BqcEUPx0c+J5uL8oS147bxl/xBdXBpAr1hW39s+UUKyhDD5sW5zbg00l1yJnTup9Ngcfl7ifC4Fw==" saltValue="Dm9wykwkBv7zWLKkUpuo+Q==" spinCount="100000" sheet="1" objects="1" scenarios="1" selectLockedCells="1"/>
  <mergeCells count="34">
    <mergeCell ref="B21:D21"/>
    <mergeCell ref="B8:J8"/>
    <mergeCell ref="B10:D10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33:D33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4:D34"/>
    <mergeCell ref="H34:L34"/>
    <mergeCell ref="B35:D35"/>
    <mergeCell ref="P35:P39"/>
    <mergeCell ref="B36:D36"/>
    <mergeCell ref="B37:D37"/>
    <mergeCell ref="B38:D38"/>
    <mergeCell ref="F39:F40"/>
    <mergeCell ref="H39:H40"/>
    <mergeCell ref="J39:J40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scale="90" orientation="landscape" horizontalDpi="0" verticalDpi="0" r:id="rId1"/>
  <headerFooter scaleWithDoc="0"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</sheetPr>
  <dimension ref="A1:X206"/>
  <sheetViews>
    <sheetView showGridLines="0" zoomScale="110" zoomScaleNormal="110" workbookViewId="0">
      <pane ySplit="11" topLeftCell="A183" activePane="bottomLeft" state="frozen"/>
      <selection pane="bottomLeft" activeCell="K162" sqref="K162"/>
    </sheetView>
  </sheetViews>
  <sheetFormatPr baseColWidth="10" defaultRowHeight="12.75"/>
  <cols>
    <col min="1" max="1" width="2.7109375" customWidth="1"/>
    <col min="2" max="2" width="7.7109375" customWidth="1"/>
    <col min="3" max="3" width="6.7109375" customWidth="1"/>
    <col min="4" max="4" width="16.7109375" customWidth="1"/>
    <col min="5" max="5" width="5.7109375" customWidth="1"/>
    <col min="6" max="6" width="20.85546875" customWidth="1"/>
    <col min="7" max="7" width="4.7109375" customWidth="1"/>
    <col min="8" max="8" width="15.7109375" customWidth="1"/>
    <col min="9" max="9" width="0.85546875" customWidth="1"/>
    <col min="10" max="10" width="15.7109375" customWidth="1"/>
    <col min="11" max="11" width="2.85546875" customWidth="1"/>
    <col min="12" max="12" width="4.7109375" customWidth="1"/>
    <col min="13" max="13" width="3.7109375" customWidth="1"/>
    <col min="14" max="14" width="15.7109375" customWidth="1"/>
    <col min="15" max="15" width="0.85546875" customWidth="1"/>
    <col min="16" max="16" width="15.7109375" customWidth="1"/>
    <col min="17" max="17" width="0.85546875" customWidth="1"/>
    <col min="18" max="18" width="13.7109375" customWidth="1"/>
    <col min="19" max="19" width="0.85546875" customWidth="1"/>
    <col min="20" max="20" width="13.7109375" customWidth="1"/>
    <col min="21" max="21" width="0.85546875" customWidth="1"/>
    <col min="22" max="22" width="13.7109375" customWidth="1"/>
    <col min="23" max="23" width="0.85546875" customWidth="1"/>
    <col min="24" max="24" width="2.7109375" customWidth="1"/>
  </cols>
  <sheetData>
    <row r="1" spans="1:24" ht="15" customHeight="1">
      <c r="A1" s="895" t="s">
        <v>274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R1" s="896"/>
      <c r="S1" s="896"/>
      <c r="T1" s="896"/>
      <c r="U1" s="896"/>
      <c r="V1" s="896"/>
      <c r="W1" s="896"/>
      <c r="X1" s="896"/>
    </row>
    <row r="2" spans="1:24" ht="15" customHeight="1">
      <c r="A2" s="896"/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896"/>
      <c r="V2" s="896"/>
      <c r="W2" s="896"/>
      <c r="X2" s="896"/>
    </row>
    <row r="3" spans="1:24" ht="13.5" thickBot="1">
      <c r="A3" s="60"/>
      <c r="B3" s="60"/>
      <c r="C3" s="60"/>
      <c r="D3" s="60"/>
      <c r="E3" s="60"/>
      <c r="F3" s="60"/>
      <c r="G3" s="60"/>
      <c r="H3" s="60"/>
      <c r="I3" s="60"/>
      <c r="J3" s="60"/>
      <c r="K3" s="61"/>
      <c r="L3" s="218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</row>
    <row r="4" spans="1:24" ht="17.25" customHeight="1" thickTop="1">
      <c r="A4" s="60"/>
      <c r="B4" s="60"/>
      <c r="C4" s="60"/>
      <c r="D4" s="122" t="str">
        <f>+Datos!D12</f>
        <v xml:space="preserve"> </v>
      </c>
      <c r="E4" s="123"/>
      <c r="F4" s="124" t="str">
        <f>+Datos!D13</f>
        <v xml:space="preserve"> </v>
      </c>
      <c r="G4" s="123"/>
      <c r="H4" s="122" t="str">
        <f>+Datos!D14</f>
        <v xml:space="preserve"> </v>
      </c>
      <c r="I4" s="123"/>
      <c r="J4" s="122" t="str">
        <f>+Datos!D15</f>
        <v xml:space="preserve"> </v>
      </c>
      <c r="K4" s="61"/>
      <c r="L4" s="218"/>
      <c r="M4" s="217"/>
      <c r="N4" s="217"/>
      <c r="O4" s="217"/>
      <c r="P4" s="217"/>
      <c r="Q4" s="217"/>
      <c r="R4" s="870" t="s">
        <v>994</v>
      </c>
      <c r="S4" s="871"/>
      <c r="T4" s="872"/>
      <c r="U4" s="217"/>
      <c r="V4" s="217"/>
      <c r="W4" s="217"/>
      <c r="X4" s="217"/>
    </row>
    <row r="5" spans="1:24" ht="7.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1"/>
      <c r="L5" s="218"/>
      <c r="M5" s="217"/>
      <c r="N5" s="217"/>
      <c r="O5" s="217"/>
      <c r="P5" s="217"/>
      <c r="Q5" s="217"/>
      <c r="R5" s="873"/>
      <c r="S5" s="874"/>
      <c r="T5" s="875"/>
      <c r="U5" s="217"/>
      <c r="V5" s="217"/>
      <c r="W5" s="217"/>
      <c r="X5" s="217"/>
    </row>
    <row r="6" spans="1:24" ht="17.25" customHeight="1" thickBot="1">
      <c r="A6" s="60"/>
      <c r="B6" s="60"/>
      <c r="C6" s="60"/>
      <c r="D6" s="121" t="str">
        <f>+Datos!D11</f>
        <v xml:space="preserve"> </v>
      </c>
      <c r="E6" s="121" t="str">
        <f>+Datos!J11</f>
        <v xml:space="preserve"> </v>
      </c>
      <c r="F6" s="60"/>
      <c r="G6" s="60"/>
      <c r="H6" s="60"/>
      <c r="I6" s="60"/>
      <c r="J6" s="586" t="s">
        <v>1176</v>
      </c>
      <c r="K6" s="584"/>
      <c r="L6" s="585"/>
      <c r="M6" s="217"/>
      <c r="N6" s="217"/>
      <c r="O6" s="217"/>
      <c r="P6" s="217"/>
      <c r="Q6" s="217"/>
      <c r="R6" s="876"/>
      <c r="S6" s="877"/>
      <c r="T6" s="878"/>
      <c r="U6" s="217"/>
      <c r="V6" s="217"/>
      <c r="W6" s="217"/>
      <c r="X6" s="217"/>
    </row>
    <row r="7" spans="1:24" ht="7.5" customHeight="1" thickTop="1" thickBot="1">
      <c r="A7" s="60"/>
      <c r="B7" s="60"/>
      <c r="C7" s="60"/>
      <c r="D7" s="60"/>
      <c r="E7" s="64"/>
      <c r="F7" s="60"/>
      <c r="G7" s="60"/>
      <c r="H7" s="60"/>
      <c r="I7" s="60"/>
      <c r="J7" s="60"/>
      <c r="K7" s="61"/>
      <c r="L7" s="218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24" ht="18" thickTop="1" thickBot="1">
      <c r="A8" s="60"/>
      <c r="B8" s="60"/>
      <c r="C8" s="60"/>
      <c r="D8" s="879" t="s">
        <v>182</v>
      </c>
      <c r="E8" s="880"/>
      <c r="F8" s="880"/>
      <c r="G8" s="880"/>
      <c r="H8" s="880"/>
      <c r="I8" s="880"/>
      <c r="J8" s="881"/>
      <c r="K8" s="300"/>
      <c r="L8" s="219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</row>
    <row r="9" spans="1:24" ht="7.5" customHeight="1" thickTop="1" thickBot="1">
      <c r="A9" s="60"/>
      <c r="B9" s="60"/>
      <c r="C9" s="60"/>
      <c r="D9" s="60"/>
      <c r="E9" s="60"/>
      <c r="F9" s="60"/>
      <c r="G9" s="60"/>
      <c r="H9" s="60"/>
      <c r="I9" s="60"/>
      <c r="J9" s="60"/>
      <c r="K9" s="300"/>
      <c r="L9" s="218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</row>
    <row r="10" spans="1:24" ht="18" thickTop="1" thickBot="1">
      <c r="A10" s="60"/>
      <c r="B10" s="60"/>
      <c r="C10" s="60"/>
      <c r="D10" s="882" t="s">
        <v>49</v>
      </c>
      <c r="E10" s="883"/>
      <c r="F10" s="884"/>
      <c r="G10" s="193" t="s">
        <v>253</v>
      </c>
      <c r="H10" s="454" t="s">
        <v>0</v>
      </c>
      <c r="I10" s="59"/>
      <c r="J10" s="454" t="s">
        <v>74</v>
      </c>
      <c r="K10" s="300"/>
      <c r="L10" s="220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</row>
    <row r="11" spans="1:24" ht="7.5" customHeight="1" thickTop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300"/>
      <c r="L11" s="218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</row>
    <row r="12" spans="1:24" ht="16.5">
      <c r="A12" s="60"/>
      <c r="B12" s="885" t="s">
        <v>38</v>
      </c>
      <c r="C12" s="888" t="s">
        <v>137</v>
      </c>
      <c r="D12" s="888"/>
      <c r="E12" s="888"/>
      <c r="F12" s="888"/>
      <c r="G12" s="259">
        <v>29</v>
      </c>
      <c r="H12" s="168">
        <f>+'Patrimonio Liquido'!F34</f>
        <v>0</v>
      </c>
      <c r="I12" s="169"/>
      <c r="J12" s="170">
        <f>+'Patrimonio Liquido'!F38</f>
        <v>0</v>
      </c>
      <c r="K12" s="300"/>
      <c r="L12" s="261"/>
      <c r="M12" s="217"/>
      <c r="N12" s="889" t="s">
        <v>938</v>
      </c>
      <c r="O12" s="889"/>
      <c r="P12" s="889"/>
      <c r="Q12" s="889"/>
      <c r="R12" s="889"/>
      <c r="S12" s="889"/>
      <c r="T12" s="889"/>
      <c r="U12" s="217"/>
      <c r="V12" s="1030" t="s">
        <v>1075</v>
      </c>
      <c r="W12" s="217"/>
      <c r="X12" s="217"/>
    </row>
    <row r="13" spans="1:24" ht="16.5">
      <c r="A13" s="60"/>
      <c r="B13" s="886"/>
      <c r="C13" s="863" t="s">
        <v>1</v>
      </c>
      <c r="D13" s="863"/>
      <c r="E13" s="863"/>
      <c r="F13" s="863"/>
      <c r="G13" s="259">
        <v>29</v>
      </c>
      <c r="H13" s="62">
        <f>+'Patrimonio Liquido'!H34</f>
        <v>0</v>
      </c>
      <c r="I13" s="161"/>
      <c r="J13" s="63">
        <f>+'Patrimonio Liquido'!H38</f>
        <v>0</v>
      </c>
      <c r="K13" s="300"/>
      <c r="L13" s="261"/>
      <c r="M13" s="217"/>
      <c r="N13" s="890"/>
      <c r="O13" s="890"/>
      <c r="P13" s="890"/>
      <c r="Q13" s="890"/>
      <c r="R13" s="890"/>
      <c r="S13" s="890"/>
      <c r="T13" s="890"/>
      <c r="U13" s="217"/>
      <c r="V13" s="1031"/>
      <c r="W13" s="217"/>
      <c r="X13" s="217"/>
    </row>
    <row r="14" spans="1:24" ht="16.5">
      <c r="A14" s="60"/>
      <c r="B14" s="886"/>
      <c r="C14" s="892" t="s">
        <v>14</v>
      </c>
      <c r="D14" s="893"/>
      <c r="E14" s="893"/>
      <c r="F14" s="894"/>
      <c r="G14" s="259">
        <v>29</v>
      </c>
      <c r="H14" s="62">
        <f>+'Patrimonio Liquido'!J34</f>
        <v>0</v>
      </c>
      <c r="I14" s="161"/>
      <c r="J14" s="63">
        <f>+'Patrimonio Liquido'!J38</f>
        <v>0</v>
      </c>
      <c r="K14" s="300"/>
      <c r="L14" s="261"/>
      <c r="M14" s="217"/>
      <c r="N14" s="891"/>
      <c r="O14" s="891"/>
      <c r="P14" s="891"/>
      <c r="Q14" s="891"/>
      <c r="R14" s="891"/>
      <c r="S14" s="891"/>
      <c r="T14" s="891"/>
      <c r="U14" s="217"/>
      <c r="V14" s="1032"/>
      <c r="W14" s="217"/>
      <c r="X14" s="217"/>
    </row>
    <row r="15" spans="1:24" ht="16.5">
      <c r="A15" s="60"/>
      <c r="B15" s="886"/>
      <c r="C15" s="863" t="s">
        <v>15</v>
      </c>
      <c r="D15" s="863"/>
      <c r="E15" s="863"/>
      <c r="F15" s="863"/>
      <c r="G15" s="259">
        <v>29</v>
      </c>
      <c r="H15" s="62">
        <f>+'Patrimonio Liquido'!L34</f>
        <v>0</v>
      </c>
      <c r="I15" s="161"/>
      <c r="J15" s="63">
        <f>+'Patrimonio Liquido'!L38</f>
        <v>0</v>
      </c>
      <c r="K15" s="300"/>
      <c r="L15" s="261"/>
      <c r="M15" s="217"/>
      <c r="N15" s="864" t="s">
        <v>1062</v>
      </c>
      <c r="O15" s="865"/>
      <c r="P15" s="866"/>
      <c r="Q15" s="217"/>
      <c r="R15" s="217"/>
      <c r="S15" s="217"/>
      <c r="T15" s="74">
        <f>+J93</f>
        <v>0</v>
      </c>
      <c r="U15" s="217"/>
      <c r="V15" s="217"/>
      <c r="W15" s="217"/>
      <c r="X15" s="217"/>
    </row>
    <row r="16" spans="1:24" ht="16.5">
      <c r="A16" s="60"/>
      <c r="B16" s="886"/>
      <c r="C16" s="863" t="s">
        <v>2</v>
      </c>
      <c r="D16" s="863"/>
      <c r="E16" s="863"/>
      <c r="F16" s="863"/>
      <c r="G16" s="259">
        <v>29</v>
      </c>
      <c r="H16" s="62">
        <f>+'Patrimonio Liquido'!N34</f>
        <v>0</v>
      </c>
      <c r="I16" s="161"/>
      <c r="J16" s="63">
        <f>+'Patrimonio Liquido'!N38</f>
        <v>0</v>
      </c>
      <c r="K16" s="300"/>
      <c r="L16" s="261"/>
      <c r="M16" s="217"/>
      <c r="N16" s="867" t="s">
        <v>1063</v>
      </c>
      <c r="O16" s="868"/>
      <c r="P16" s="869"/>
      <c r="Q16" s="217"/>
      <c r="R16" s="217"/>
      <c r="S16" s="217"/>
      <c r="T16" s="74">
        <f>+J101</f>
        <v>0</v>
      </c>
      <c r="U16" s="217"/>
      <c r="V16" s="217"/>
      <c r="W16" s="217"/>
      <c r="X16" s="217"/>
    </row>
    <row r="17" spans="1:24" ht="16.5">
      <c r="A17" s="60"/>
      <c r="B17" s="886"/>
      <c r="C17" s="863" t="s">
        <v>3</v>
      </c>
      <c r="D17" s="863"/>
      <c r="E17" s="863"/>
      <c r="F17" s="863"/>
      <c r="G17" s="259">
        <v>29</v>
      </c>
      <c r="H17" s="62">
        <f>+'Patrimonio Liquido'!P34</f>
        <v>0</v>
      </c>
      <c r="I17" s="161"/>
      <c r="J17" s="63">
        <f>+'Patrimonio Liquido'!P38</f>
        <v>0</v>
      </c>
      <c r="K17" s="300"/>
      <c r="L17" s="261"/>
      <c r="M17" s="217"/>
      <c r="N17" s="864" t="s">
        <v>1064</v>
      </c>
      <c r="O17" s="865"/>
      <c r="P17" s="866"/>
      <c r="Q17" s="217"/>
      <c r="R17" s="217"/>
      <c r="S17" s="217"/>
      <c r="T17" s="74">
        <f>+J95</f>
        <v>0</v>
      </c>
      <c r="U17" s="217"/>
      <c r="V17" s="217"/>
      <c r="W17" s="217"/>
      <c r="X17" s="217"/>
    </row>
    <row r="18" spans="1:24" ht="16.5">
      <c r="A18" s="60"/>
      <c r="B18" s="886"/>
      <c r="C18" s="863" t="s">
        <v>104</v>
      </c>
      <c r="D18" s="863"/>
      <c r="E18" s="863"/>
      <c r="F18" s="863"/>
      <c r="G18" s="117"/>
      <c r="H18" s="62">
        <f>+'Patrimonio Liquido'!L45</f>
        <v>0</v>
      </c>
      <c r="I18" s="161"/>
      <c r="J18" s="162"/>
      <c r="K18" s="300"/>
      <c r="L18" s="261"/>
      <c r="M18" s="217"/>
      <c r="N18" s="864" t="s">
        <v>1065</v>
      </c>
      <c r="O18" s="865"/>
      <c r="P18" s="866"/>
      <c r="Q18" s="217"/>
      <c r="R18" s="217"/>
      <c r="S18" s="217"/>
      <c r="T18" s="74">
        <f>+J110</f>
        <v>0</v>
      </c>
      <c r="U18" s="217"/>
      <c r="V18" s="217"/>
      <c r="W18" s="217"/>
      <c r="X18" s="217"/>
    </row>
    <row r="19" spans="1:24" ht="16.5">
      <c r="A19" s="60"/>
      <c r="B19" s="886"/>
      <c r="C19" s="902" t="s">
        <v>4</v>
      </c>
      <c r="D19" s="902"/>
      <c r="E19" s="902"/>
      <c r="F19" s="902"/>
      <c r="G19" s="118">
        <v>29</v>
      </c>
      <c r="H19" s="116">
        <f>SUM(H12:H18)</f>
        <v>0</v>
      </c>
      <c r="I19" s="161"/>
      <c r="J19" s="116">
        <f>SUM(J12:J18)</f>
        <v>0</v>
      </c>
      <c r="K19" s="300"/>
      <c r="L19" s="261"/>
      <c r="M19" s="217"/>
      <c r="N19" s="864" t="s">
        <v>939</v>
      </c>
      <c r="O19" s="865"/>
      <c r="P19" s="866"/>
      <c r="Q19" s="217"/>
      <c r="R19" s="217"/>
      <c r="S19" s="217"/>
      <c r="T19" s="74">
        <f>+T18</f>
        <v>0</v>
      </c>
      <c r="U19" s="217"/>
      <c r="V19" s="217"/>
      <c r="W19" s="217"/>
      <c r="X19" s="217"/>
    </row>
    <row r="20" spans="1:24" ht="16.5">
      <c r="A20" s="60"/>
      <c r="B20" s="886"/>
      <c r="C20" s="863" t="s">
        <v>175</v>
      </c>
      <c r="D20" s="863"/>
      <c r="E20" s="863"/>
      <c r="F20" s="863"/>
      <c r="G20" s="259">
        <v>30</v>
      </c>
      <c r="H20" s="62">
        <f>+'Patrimonio Liquido'!F80</f>
        <v>0</v>
      </c>
      <c r="I20" s="161"/>
      <c r="J20" s="63">
        <f>+'Patrimonio Liquido'!F84</f>
        <v>0</v>
      </c>
      <c r="K20" s="300"/>
      <c r="L20" s="261"/>
      <c r="M20" s="217"/>
      <c r="N20" s="76" t="s">
        <v>139</v>
      </c>
      <c r="O20" s="217"/>
      <c r="P20" s="74">
        <f>+Datos!J10</f>
        <v>49799</v>
      </c>
      <c r="Q20" s="217"/>
      <c r="R20" s="903" t="s">
        <v>116</v>
      </c>
      <c r="S20" s="217"/>
      <c r="T20" s="171">
        <f>+T19/P20</f>
        <v>0</v>
      </c>
      <c r="U20" s="217"/>
      <c r="V20" s="217"/>
      <c r="W20" s="217"/>
      <c r="X20" s="217"/>
    </row>
    <row r="21" spans="1:24" ht="16.5">
      <c r="A21" s="60"/>
      <c r="B21" s="887"/>
      <c r="C21" s="905" t="s">
        <v>6</v>
      </c>
      <c r="D21" s="905"/>
      <c r="E21" s="905"/>
      <c r="F21" s="905"/>
      <c r="G21" s="119">
        <v>31</v>
      </c>
      <c r="H21" s="156">
        <f>+H19-H20</f>
        <v>0</v>
      </c>
      <c r="I21" s="164"/>
      <c r="J21" s="156">
        <f>IF(J19&gt;J20,+J19-J20,0)</f>
        <v>0</v>
      </c>
      <c r="K21" s="300"/>
      <c r="L21" s="261"/>
      <c r="M21" s="217"/>
      <c r="N21" s="217"/>
      <c r="O21" s="217"/>
      <c r="P21" s="217"/>
      <c r="Q21" s="217"/>
      <c r="R21" s="904"/>
      <c r="S21" s="217"/>
      <c r="T21" s="217"/>
      <c r="U21" s="217"/>
      <c r="V21" s="217"/>
      <c r="W21" s="217"/>
      <c r="X21" s="217"/>
    </row>
    <row r="22" spans="1:24" ht="21" customHeight="1">
      <c r="A22" s="60"/>
      <c r="B22" s="906"/>
      <c r="C22" s="906"/>
      <c r="D22" s="906"/>
      <c r="E22" s="906"/>
      <c r="F22" s="906"/>
      <c r="G22" s="906"/>
      <c r="H22" s="906"/>
      <c r="I22" s="906"/>
      <c r="J22" s="906"/>
      <c r="K22" s="300"/>
      <c r="L22" s="221"/>
      <c r="M22" s="217"/>
      <c r="N22" s="907" t="s">
        <v>109</v>
      </c>
      <c r="O22" s="907"/>
      <c r="P22" s="907"/>
      <c r="Q22" s="217"/>
      <c r="R22" s="909" t="s">
        <v>112</v>
      </c>
      <c r="S22" s="217"/>
      <c r="T22" s="897" t="s">
        <v>113</v>
      </c>
      <c r="U22" s="217"/>
      <c r="V22" s="217"/>
      <c r="W22" s="217"/>
      <c r="X22" s="217"/>
    </row>
    <row r="23" spans="1:24">
      <c r="A23" s="60"/>
      <c r="B23" s="899" t="s">
        <v>229</v>
      </c>
      <c r="C23" s="863" t="s">
        <v>932</v>
      </c>
      <c r="D23" s="863"/>
      <c r="E23" s="863"/>
      <c r="F23" s="863"/>
      <c r="G23" s="259">
        <v>32</v>
      </c>
      <c r="H23" s="62">
        <f>+Rentas!F50</f>
        <v>0</v>
      </c>
      <c r="I23" s="161"/>
      <c r="J23" s="63">
        <f>ROUND(+H23,-3)</f>
        <v>0</v>
      </c>
      <c r="K23" s="300"/>
      <c r="L23" s="221"/>
      <c r="M23" s="217"/>
      <c r="N23" s="908"/>
      <c r="O23" s="908"/>
      <c r="P23" s="908"/>
      <c r="Q23" s="217"/>
      <c r="R23" s="909"/>
      <c r="S23" s="217"/>
      <c r="T23" s="897"/>
      <c r="U23" s="217"/>
      <c r="V23" s="217"/>
      <c r="W23" s="217"/>
      <c r="X23" s="217"/>
    </row>
    <row r="24" spans="1:24">
      <c r="A24" s="60"/>
      <c r="B24" s="900"/>
      <c r="C24" s="863" t="s">
        <v>146</v>
      </c>
      <c r="D24" s="863"/>
      <c r="E24" s="863"/>
      <c r="F24" s="863"/>
      <c r="G24" s="259">
        <v>33</v>
      </c>
      <c r="H24" s="62">
        <f>+Rentas!F71</f>
        <v>0</v>
      </c>
      <c r="I24" s="161"/>
      <c r="J24" s="63">
        <f t="shared" ref="J24:J33" si="0">ROUND(+H24,-3)</f>
        <v>0</v>
      </c>
      <c r="K24" s="300"/>
      <c r="L24" s="221"/>
      <c r="M24" s="217"/>
      <c r="N24" s="266" t="s">
        <v>110</v>
      </c>
      <c r="O24" s="217"/>
      <c r="P24" s="266" t="s">
        <v>111</v>
      </c>
      <c r="Q24" s="217"/>
      <c r="R24" s="910"/>
      <c r="S24" s="217"/>
      <c r="T24" s="898"/>
      <c r="U24" s="217"/>
      <c r="V24" s="217"/>
      <c r="W24" s="217"/>
      <c r="X24" s="217"/>
    </row>
    <row r="25" spans="1:24">
      <c r="A25" s="60"/>
      <c r="B25" s="900"/>
      <c r="C25" s="901" t="s">
        <v>228</v>
      </c>
      <c r="D25" s="901"/>
      <c r="E25" s="901"/>
      <c r="F25" s="901"/>
      <c r="G25" s="119">
        <v>34</v>
      </c>
      <c r="H25" s="260">
        <f>+H23-H24</f>
        <v>0</v>
      </c>
      <c r="I25" s="161"/>
      <c r="J25" s="165">
        <f>+J23-J24</f>
        <v>0</v>
      </c>
      <c r="K25" s="300"/>
      <c r="L25" s="221"/>
      <c r="M25" s="217"/>
      <c r="N25" s="308" t="s">
        <v>114</v>
      </c>
      <c r="O25" s="309"/>
      <c r="P25" s="310">
        <v>1090</v>
      </c>
      <c r="Q25" s="309"/>
      <c r="R25" s="311">
        <v>0</v>
      </c>
      <c r="S25" s="309"/>
      <c r="T25" s="369">
        <f>IF(+T20&lt;=1090,0,0)</f>
        <v>0</v>
      </c>
      <c r="U25" s="217"/>
      <c r="V25" s="217"/>
      <c r="W25" s="217"/>
      <c r="X25" s="217"/>
    </row>
    <row r="26" spans="1:24">
      <c r="A26" s="60"/>
      <c r="B26" s="900"/>
      <c r="C26" s="863" t="s">
        <v>926</v>
      </c>
      <c r="D26" s="863"/>
      <c r="E26" s="863"/>
      <c r="F26" s="863"/>
      <c r="G26" s="259">
        <v>35</v>
      </c>
      <c r="H26" s="62">
        <f>+Rentas!F121</f>
        <v>0</v>
      </c>
      <c r="I26" s="161"/>
      <c r="J26" s="63">
        <f t="shared" si="0"/>
        <v>0</v>
      </c>
      <c r="K26" s="300"/>
      <c r="L26" s="221"/>
      <c r="M26" s="217"/>
      <c r="N26" s="312" t="s">
        <v>117</v>
      </c>
      <c r="O26" s="217"/>
      <c r="P26" s="306">
        <v>1700</v>
      </c>
      <c r="Q26" s="217"/>
      <c r="R26" s="307">
        <v>0.19</v>
      </c>
      <c r="S26" s="217"/>
      <c r="T26" s="370" t="b">
        <f>IF(+T20&gt;1090,IF(+T20&lt;=1700,+(T20-1090)*19%*P20,0))</f>
        <v>0</v>
      </c>
      <c r="U26" s="217"/>
      <c r="V26" s="217"/>
      <c r="W26" s="217"/>
      <c r="X26" s="217"/>
    </row>
    <row r="27" spans="1:24">
      <c r="A27" s="60"/>
      <c r="B27" s="900"/>
      <c r="C27" s="863" t="s">
        <v>927</v>
      </c>
      <c r="D27" s="863"/>
      <c r="E27" s="863"/>
      <c r="F27" s="863"/>
      <c r="G27" s="259">
        <v>36</v>
      </c>
      <c r="H27" s="62">
        <f>+Rentas!F131-Rentas!F121</f>
        <v>0</v>
      </c>
      <c r="I27" s="161"/>
      <c r="J27" s="63">
        <f t="shared" si="0"/>
        <v>0</v>
      </c>
      <c r="K27" s="300"/>
      <c r="L27" s="221"/>
      <c r="M27" s="217"/>
      <c r="N27" s="312" t="s">
        <v>118</v>
      </c>
      <c r="O27" s="217"/>
      <c r="P27" s="306">
        <v>4100</v>
      </c>
      <c r="Q27" s="217"/>
      <c r="R27" s="307">
        <v>0.28000000000000003</v>
      </c>
      <c r="S27" s="217"/>
      <c r="T27" s="370" t="b">
        <f>IF(+T20&gt;1700,IF(+T20&lt;=4100,+((T20-1700)*0.28+116)*P20,0))</f>
        <v>0</v>
      </c>
      <c r="U27" s="217"/>
      <c r="V27" s="217"/>
      <c r="W27" s="217"/>
      <c r="X27" s="217"/>
    </row>
    <row r="28" spans="1:24">
      <c r="A28" s="60"/>
      <c r="B28" s="900"/>
      <c r="C28" s="901" t="s">
        <v>914</v>
      </c>
      <c r="D28" s="901"/>
      <c r="E28" s="901"/>
      <c r="F28" s="901"/>
      <c r="G28" s="119">
        <v>37</v>
      </c>
      <c r="H28" s="260">
        <f>+H26+H27</f>
        <v>0</v>
      </c>
      <c r="I28" s="161"/>
      <c r="J28" s="165">
        <f t="shared" si="0"/>
        <v>0</v>
      </c>
      <c r="K28" s="300"/>
      <c r="L28" s="221"/>
      <c r="M28" s="217"/>
      <c r="N28" s="312" t="s">
        <v>119</v>
      </c>
      <c r="O28" s="217"/>
      <c r="P28" s="306">
        <v>8670</v>
      </c>
      <c r="Q28" s="217"/>
      <c r="R28" s="307">
        <v>0.33</v>
      </c>
      <c r="S28" s="217"/>
      <c r="T28" s="370" t="b">
        <f>IF(+T20&gt;4100,IF(+T20&lt;=8670,+((T20-4100)*0.33+788)*P20,0))</f>
        <v>0</v>
      </c>
      <c r="U28" s="217"/>
      <c r="V28" s="217"/>
      <c r="W28" s="217"/>
      <c r="X28" s="217"/>
    </row>
    <row r="29" spans="1:24">
      <c r="A29" s="60"/>
      <c r="B29" s="900"/>
      <c r="C29" s="863" t="s">
        <v>907</v>
      </c>
      <c r="D29" s="863"/>
      <c r="E29" s="863"/>
      <c r="F29" s="863"/>
      <c r="G29" s="259">
        <v>38</v>
      </c>
      <c r="H29" s="62">
        <f>+Rentas!F136</f>
        <v>0</v>
      </c>
      <c r="I29" s="161"/>
      <c r="J29" s="63">
        <f t="shared" si="0"/>
        <v>0</v>
      </c>
      <c r="K29" s="300"/>
      <c r="L29" s="221"/>
      <c r="M29" s="330"/>
      <c r="N29" s="312" t="s">
        <v>823</v>
      </c>
      <c r="O29" s="217"/>
      <c r="P29" s="306">
        <v>18970</v>
      </c>
      <c r="Q29" s="217"/>
      <c r="R29" s="307">
        <v>0.35</v>
      </c>
      <c r="S29" s="217"/>
      <c r="T29" s="370" t="b">
        <f>IF(+T20&gt;8670,IF(+T20&lt;=18970,+((T20-8670)*0.35+2296)*P20,0))</f>
        <v>0</v>
      </c>
      <c r="U29" s="217"/>
      <c r="V29" s="217"/>
      <c r="W29" s="217"/>
      <c r="X29" s="217"/>
    </row>
    <row r="30" spans="1:24">
      <c r="A30" s="60"/>
      <c r="B30" s="900"/>
      <c r="C30" s="863" t="s">
        <v>928</v>
      </c>
      <c r="D30" s="863"/>
      <c r="E30" s="863"/>
      <c r="F30" s="863"/>
      <c r="G30" s="259">
        <v>39</v>
      </c>
      <c r="H30" s="62">
        <f>+Rentas!F149-Rentas!F136</f>
        <v>0</v>
      </c>
      <c r="I30" s="61"/>
      <c r="J30" s="63">
        <f t="shared" si="0"/>
        <v>0</v>
      </c>
      <c r="K30" s="300"/>
      <c r="L30" s="221"/>
      <c r="M30" s="330"/>
      <c r="N30" s="312" t="s">
        <v>824</v>
      </c>
      <c r="O30" s="217"/>
      <c r="P30" s="306">
        <v>31000</v>
      </c>
      <c r="Q30" s="217"/>
      <c r="R30" s="307">
        <v>0.37</v>
      </c>
      <c r="S30" s="217"/>
      <c r="T30" s="370" t="b">
        <f>IF(+T20&gt;18970,IF(+T20&lt;=31000,+((T20-18970)*0.37+5901)*P20,0))</f>
        <v>0</v>
      </c>
      <c r="U30" s="217"/>
      <c r="V30" s="217"/>
      <c r="W30" s="217"/>
      <c r="X30" s="217"/>
    </row>
    <row r="31" spans="1:24">
      <c r="A31" s="60"/>
      <c r="B31" s="900"/>
      <c r="C31" s="901" t="s">
        <v>929</v>
      </c>
      <c r="D31" s="901"/>
      <c r="E31" s="901"/>
      <c r="F31" s="901"/>
      <c r="G31" s="118">
        <v>40</v>
      </c>
      <c r="H31" s="260">
        <f>+H29+H30</f>
        <v>0</v>
      </c>
      <c r="I31" s="61"/>
      <c r="J31" s="165">
        <f t="shared" si="0"/>
        <v>0</v>
      </c>
      <c r="K31" s="300"/>
      <c r="L31" s="221"/>
      <c r="M31" s="330"/>
      <c r="N31" s="313" t="s">
        <v>825</v>
      </c>
      <c r="O31" s="314"/>
      <c r="P31" s="315" t="s">
        <v>120</v>
      </c>
      <c r="Q31" s="314"/>
      <c r="R31" s="316">
        <v>0.39</v>
      </c>
      <c r="S31" s="314"/>
      <c r="T31" s="371">
        <f>IF(+T20&gt;31000,+((T20-31000)*0.39+10352)*P20,0)</f>
        <v>0</v>
      </c>
      <c r="U31" s="217"/>
      <c r="V31" s="217"/>
      <c r="W31" s="217"/>
      <c r="X31" s="217"/>
    </row>
    <row r="32" spans="1:24" ht="13.5">
      <c r="A32" s="60"/>
      <c r="B32" s="900"/>
      <c r="C32" s="901" t="s">
        <v>930</v>
      </c>
      <c r="D32" s="901"/>
      <c r="E32" s="901"/>
      <c r="F32" s="901"/>
      <c r="G32" s="118">
        <v>41</v>
      </c>
      <c r="H32" s="260">
        <f>+Rentas!F175</f>
        <v>0</v>
      </c>
      <c r="I32" s="61"/>
      <c r="J32" s="165">
        <f t="shared" si="0"/>
        <v>0</v>
      </c>
      <c r="K32" s="300"/>
      <c r="L32" s="221"/>
      <c r="M32" s="330"/>
      <c r="N32" s="217"/>
      <c r="O32" s="217"/>
      <c r="P32" s="217"/>
      <c r="Q32" s="217"/>
      <c r="R32" s="304" t="s">
        <v>262</v>
      </c>
      <c r="S32" s="217"/>
      <c r="T32" s="305">
        <f>ROUND(+T25+T26+T27+T28+T29+T30+T31,-3)</f>
        <v>0</v>
      </c>
      <c r="U32" s="217"/>
      <c r="V32" s="217"/>
      <c r="W32" s="217"/>
      <c r="X32" s="217"/>
    </row>
    <row r="33" spans="1:24">
      <c r="A33" s="60"/>
      <c r="B33" s="900"/>
      <c r="C33" s="901" t="s">
        <v>931</v>
      </c>
      <c r="D33" s="901"/>
      <c r="E33" s="901"/>
      <c r="F33" s="901"/>
      <c r="G33" s="118">
        <v>42</v>
      </c>
      <c r="H33" s="260">
        <f>+H25-H32</f>
        <v>0</v>
      </c>
      <c r="I33" s="61"/>
      <c r="J33" s="165">
        <f t="shared" si="0"/>
        <v>0</v>
      </c>
      <c r="K33" s="300"/>
      <c r="L33" s="221"/>
      <c r="M33" s="330"/>
      <c r="N33" s="330"/>
      <c r="O33" s="330"/>
      <c r="P33" s="330"/>
      <c r="Q33" s="330"/>
      <c r="R33" s="330"/>
      <c r="S33" s="330"/>
      <c r="T33" s="330"/>
      <c r="U33" s="330"/>
      <c r="V33" s="217"/>
      <c r="W33" s="217"/>
      <c r="X33" s="217"/>
    </row>
    <row r="34" spans="1:24" ht="21" customHeight="1">
      <c r="A34" s="60"/>
      <c r="B34" s="911"/>
      <c r="C34" s="911"/>
      <c r="D34" s="911"/>
      <c r="E34" s="911"/>
      <c r="F34" s="911"/>
      <c r="G34" s="911"/>
      <c r="H34" s="911"/>
      <c r="I34" s="911"/>
      <c r="J34" s="911"/>
      <c r="K34" s="300"/>
      <c r="L34" s="221"/>
      <c r="M34" s="330"/>
      <c r="N34" s="330"/>
      <c r="O34" s="330"/>
      <c r="P34" s="330"/>
      <c r="Q34" s="330"/>
      <c r="R34" s="330"/>
      <c r="S34" s="330"/>
      <c r="T34" s="330"/>
      <c r="U34" s="330"/>
      <c r="V34" s="217"/>
      <c r="W34" s="217"/>
      <c r="X34" s="217"/>
    </row>
    <row r="35" spans="1:24">
      <c r="A35" s="60"/>
      <c r="B35" s="912" t="s">
        <v>1043</v>
      </c>
      <c r="C35" s="863" t="s">
        <v>933</v>
      </c>
      <c r="D35" s="863"/>
      <c r="E35" s="863"/>
      <c r="F35" s="863"/>
      <c r="G35" s="259">
        <v>43</v>
      </c>
      <c r="H35" s="62">
        <f>+Rentas!H50</f>
        <v>0</v>
      </c>
      <c r="I35" s="161"/>
      <c r="J35" s="63">
        <f t="shared" ref="J35:J49" si="1">ROUND(+H35,-3)</f>
        <v>0</v>
      </c>
      <c r="K35" s="300"/>
      <c r="L35" s="221"/>
      <c r="M35" s="330"/>
      <c r="N35" s="330"/>
      <c r="O35" s="330"/>
      <c r="P35" s="330"/>
      <c r="Q35" s="330"/>
      <c r="R35" s="330"/>
      <c r="S35" s="330"/>
      <c r="T35" s="330"/>
      <c r="U35" s="217"/>
      <c r="V35" s="217"/>
      <c r="W35" s="217"/>
      <c r="X35" s="217"/>
    </row>
    <row r="36" spans="1:24">
      <c r="A36" s="60"/>
      <c r="B36" s="913"/>
      <c r="C36" s="863" t="s">
        <v>146</v>
      </c>
      <c r="D36" s="863"/>
      <c r="E36" s="863"/>
      <c r="F36" s="863"/>
      <c r="G36" s="259">
        <v>44</v>
      </c>
      <c r="H36" s="62">
        <f>+Rentas!H71</f>
        <v>0</v>
      </c>
      <c r="I36" s="161"/>
      <c r="J36" s="63">
        <f t="shared" si="1"/>
        <v>0</v>
      </c>
      <c r="K36" s="300"/>
      <c r="L36" s="221"/>
      <c r="M36" s="330"/>
      <c r="N36" s="330"/>
      <c r="O36" s="330"/>
      <c r="P36" s="330"/>
      <c r="Q36" s="330"/>
      <c r="R36" s="330"/>
      <c r="S36" s="330"/>
      <c r="T36" s="330"/>
      <c r="U36" s="217"/>
      <c r="V36" s="217"/>
      <c r="W36" s="217"/>
      <c r="X36" s="217"/>
    </row>
    <row r="37" spans="1:24">
      <c r="A37" s="60"/>
      <c r="B37" s="913"/>
      <c r="C37" s="863" t="s">
        <v>821</v>
      </c>
      <c r="D37" s="863"/>
      <c r="E37" s="863"/>
      <c r="F37" s="863"/>
      <c r="G37" s="259">
        <v>45</v>
      </c>
      <c r="H37" s="62">
        <f>+Rentas!H86</f>
        <v>0</v>
      </c>
      <c r="I37" s="161"/>
      <c r="J37" s="63">
        <f t="shared" si="1"/>
        <v>0</v>
      </c>
      <c r="K37" s="300"/>
      <c r="L37" s="221"/>
      <c r="M37" s="330"/>
      <c r="N37" s="330"/>
      <c r="O37" s="330"/>
      <c r="P37" s="330"/>
      <c r="Q37" s="330"/>
      <c r="R37" s="330"/>
      <c r="S37" s="330"/>
      <c r="T37" s="330"/>
      <c r="U37" s="217"/>
      <c r="V37" s="217"/>
      <c r="W37" s="217"/>
      <c r="X37" s="217"/>
    </row>
    <row r="38" spans="1:24">
      <c r="A38" s="60"/>
      <c r="B38" s="913"/>
      <c r="C38" s="901" t="s">
        <v>228</v>
      </c>
      <c r="D38" s="901"/>
      <c r="E38" s="901"/>
      <c r="F38" s="901"/>
      <c r="G38" s="118">
        <v>46</v>
      </c>
      <c r="H38" s="260">
        <f>IF((+H35-H36-H37)&gt;0,+H35-H36-H37,0)</f>
        <v>0</v>
      </c>
      <c r="I38" s="161"/>
      <c r="J38" s="165">
        <f t="shared" si="1"/>
        <v>0</v>
      </c>
      <c r="K38" s="300"/>
      <c r="L38" s="221"/>
      <c r="M38" s="330"/>
      <c r="N38" s="330"/>
      <c r="O38" s="330"/>
      <c r="P38" s="330"/>
      <c r="Q38" s="330"/>
      <c r="R38" s="330"/>
      <c r="S38" s="330"/>
      <c r="T38" s="330"/>
      <c r="U38" s="217"/>
      <c r="V38" s="217"/>
      <c r="W38" s="217"/>
      <c r="X38" s="217"/>
    </row>
    <row r="39" spans="1:24">
      <c r="A39" s="60"/>
      <c r="B39" s="913"/>
      <c r="C39" s="863" t="s">
        <v>926</v>
      </c>
      <c r="D39" s="863"/>
      <c r="E39" s="863"/>
      <c r="F39" s="863"/>
      <c r="G39" s="259">
        <v>47</v>
      </c>
      <c r="H39" s="62">
        <f>+Rentas!H121</f>
        <v>0</v>
      </c>
      <c r="I39" s="161"/>
      <c r="J39" s="63">
        <f t="shared" si="1"/>
        <v>0</v>
      </c>
      <c r="K39" s="300"/>
      <c r="L39" s="221"/>
      <c r="M39" s="330"/>
      <c r="N39" s="330"/>
      <c r="O39" s="330"/>
      <c r="P39" s="330"/>
      <c r="Q39" s="330"/>
      <c r="R39" s="330"/>
      <c r="S39" s="330"/>
      <c r="T39" s="330"/>
      <c r="U39" s="217"/>
      <c r="V39" s="217"/>
      <c r="W39" s="217"/>
      <c r="X39" s="217"/>
    </row>
    <row r="40" spans="1:24">
      <c r="A40" s="60"/>
      <c r="B40" s="913"/>
      <c r="C40" s="863" t="s">
        <v>927</v>
      </c>
      <c r="D40" s="863"/>
      <c r="E40" s="863"/>
      <c r="F40" s="863"/>
      <c r="G40" s="259">
        <v>48</v>
      </c>
      <c r="H40" s="62">
        <f>+Rentas!H129+Rentas!H130</f>
        <v>0</v>
      </c>
      <c r="I40" s="161"/>
      <c r="J40" s="63">
        <f t="shared" si="1"/>
        <v>0</v>
      </c>
      <c r="K40" s="300"/>
      <c r="L40" s="221"/>
      <c r="M40" s="330"/>
      <c r="N40" s="330"/>
      <c r="O40" s="330"/>
      <c r="P40" s="330"/>
      <c r="Q40" s="330"/>
      <c r="R40" s="330"/>
      <c r="S40" s="330"/>
      <c r="T40" s="330"/>
      <c r="U40" s="217"/>
      <c r="V40" s="217"/>
      <c r="W40" s="217"/>
      <c r="X40" s="217"/>
    </row>
    <row r="41" spans="1:24">
      <c r="A41" s="60"/>
      <c r="B41" s="913"/>
      <c r="C41" s="901" t="s">
        <v>914</v>
      </c>
      <c r="D41" s="901"/>
      <c r="E41" s="901"/>
      <c r="F41" s="901"/>
      <c r="G41" s="119">
        <v>49</v>
      </c>
      <c r="H41" s="260">
        <f>+Rentas!H131</f>
        <v>0</v>
      </c>
      <c r="I41" s="161"/>
      <c r="J41" s="165">
        <f t="shared" si="1"/>
        <v>0</v>
      </c>
      <c r="K41" s="300"/>
      <c r="L41" s="221"/>
      <c r="M41" s="330"/>
      <c r="N41" s="330"/>
      <c r="O41" s="330"/>
      <c r="P41" s="330"/>
      <c r="Q41" s="330"/>
      <c r="R41" s="330"/>
      <c r="S41" s="330"/>
      <c r="T41" s="330"/>
      <c r="U41" s="217"/>
      <c r="V41" s="217"/>
      <c r="W41" s="217"/>
      <c r="X41" s="217"/>
    </row>
    <row r="42" spans="1:24">
      <c r="A42" s="60"/>
      <c r="B42" s="913"/>
      <c r="C42" s="863" t="s">
        <v>907</v>
      </c>
      <c r="D42" s="863"/>
      <c r="E42" s="863"/>
      <c r="F42" s="863"/>
      <c r="G42" s="259">
        <v>50</v>
      </c>
      <c r="H42" s="62">
        <f>+Rentas!H136</f>
        <v>0</v>
      </c>
      <c r="I42" s="161"/>
      <c r="J42" s="63">
        <f t="shared" si="1"/>
        <v>0</v>
      </c>
      <c r="K42" s="300"/>
      <c r="L42" s="221"/>
      <c r="M42" s="330"/>
      <c r="N42" s="330"/>
      <c r="O42" s="330"/>
      <c r="P42" s="330"/>
      <c r="Q42" s="330"/>
      <c r="R42" s="330"/>
      <c r="S42" s="330"/>
      <c r="T42" s="330"/>
      <c r="U42" s="330"/>
      <c r="V42" s="217"/>
      <c r="W42" s="217"/>
      <c r="X42" s="217"/>
    </row>
    <row r="43" spans="1:24">
      <c r="A43" s="60"/>
      <c r="B43" s="913"/>
      <c r="C43" s="863" t="s">
        <v>928</v>
      </c>
      <c r="D43" s="863"/>
      <c r="E43" s="863"/>
      <c r="F43" s="863"/>
      <c r="G43" s="259">
        <v>51</v>
      </c>
      <c r="H43" s="62">
        <f>+Rentas!H137+Rentas!H138+Rentas!H139+Rentas!H140+Rentas!H141+Rentas!H142+Rentas!H143</f>
        <v>0</v>
      </c>
      <c r="I43" s="61"/>
      <c r="J43" s="63">
        <f t="shared" si="1"/>
        <v>0</v>
      </c>
      <c r="K43" s="300"/>
      <c r="L43" s="221"/>
      <c r="M43" s="330"/>
      <c r="N43" s="330"/>
      <c r="O43" s="330"/>
      <c r="P43" s="330"/>
      <c r="Q43" s="330"/>
      <c r="R43" s="330"/>
      <c r="S43" s="330"/>
      <c r="T43" s="330"/>
      <c r="U43" s="330"/>
      <c r="V43" s="217"/>
      <c r="W43" s="217"/>
      <c r="X43" s="217"/>
    </row>
    <row r="44" spans="1:24">
      <c r="A44" s="60"/>
      <c r="B44" s="913"/>
      <c r="C44" s="901" t="s">
        <v>929</v>
      </c>
      <c r="D44" s="901"/>
      <c r="E44" s="901"/>
      <c r="F44" s="901"/>
      <c r="G44" s="118">
        <v>52</v>
      </c>
      <c r="H44" s="260">
        <f>+H42+H43</f>
        <v>0</v>
      </c>
      <c r="I44" s="61"/>
      <c r="J44" s="165">
        <f t="shared" si="1"/>
        <v>0</v>
      </c>
      <c r="K44" s="300"/>
      <c r="L44" s="221"/>
      <c r="M44" s="330"/>
      <c r="N44" s="330"/>
      <c r="O44" s="330"/>
      <c r="P44" s="330"/>
      <c r="Q44" s="330"/>
      <c r="R44" s="330"/>
      <c r="S44" s="330"/>
      <c r="T44" s="330"/>
      <c r="U44" s="330"/>
      <c r="V44" s="217"/>
      <c r="W44" s="217"/>
      <c r="X44" s="217"/>
    </row>
    <row r="45" spans="1:24">
      <c r="A45" s="60"/>
      <c r="B45" s="913"/>
      <c r="C45" s="901" t="s">
        <v>930</v>
      </c>
      <c r="D45" s="901"/>
      <c r="E45" s="901"/>
      <c r="F45" s="901"/>
      <c r="G45" s="118">
        <v>53</v>
      </c>
      <c r="H45" s="260">
        <f>+Rentas!H175</f>
        <v>0</v>
      </c>
      <c r="I45" s="161"/>
      <c r="J45" s="165">
        <f t="shared" si="1"/>
        <v>0</v>
      </c>
      <c r="K45" s="300"/>
      <c r="L45" s="221"/>
      <c r="M45" s="330"/>
      <c r="N45" s="330"/>
      <c r="O45" s="330"/>
      <c r="P45" s="330"/>
      <c r="Q45" s="330"/>
      <c r="R45" s="330"/>
      <c r="S45" s="330"/>
      <c r="T45" s="330"/>
      <c r="U45" s="330"/>
      <c r="V45" s="217"/>
      <c r="W45" s="217"/>
      <c r="X45" s="217"/>
    </row>
    <row r="46" spans="1:24">
      <c r="A46" s="60"/>
      <c r="B46" s="913"/>
      <c r="C46" s="901" t="s">
        <v>258</v>
      </c>
      <c r="D46" s="901"/>
      <c r="E46" s="901"/>
      <c r="F46" s="901"/>
      <c r="G46" s="118">
        <v>54</v>
      </c>
      <c r="H46" s="260">
        <f>IF((H35-H36-H37-H45)&gt;=0,+H35-H36-H37-H45,0)</f>
        <v>0</v>
      </c>
      <c r="I46" s="161"/>
      <c r="J46" s="165">
        <f t="shared" si="1"/>
        <v>0</v>
      </c>
      <c r="K46" s="300"/>
      <c r="L46" s="221"/>
      <c r="M46" s="330"/>
      <c r="N46" s="330"/>
      <c r="O46" s="330"/>
      <c r="P46" s="330"/>
      <c r="Q46" s="330"/>
      <c r="R46" s="330"/>
      <c r="S46" s="330"/>
      <c r="T46" s="330"/>
      <c r="U46" s="330"/>
      <c r="V46" s="217"/>
      <c r="W46" s="217"/>
      <c r="X46" s="217"/>
    </row>
    <row r="47" spans="1:24">
      <c r="A47" s="60"/>
      <c r="B47" s="913"/>
      <c r="C47" s="901" t="s">
        <v>255</v>
      </c>
      <c r="D47" s="901"/>
      <c r="E47" s="901"/>
      <c r="F47" s="901"/>
      <c r="G47" s="118">
        <v>55</v>
      </c>
      <c r="H47" s="260">
        <f>IF((+H35-H36-H37)&lt;0,-H35+H36+H37,0)</f>
        <v>0</v>
      </c>
      <c r="I47" s="161"/>
      <c r="J47" s="63">
        <f t="shared" si="1"/>
        <v>0</v>
      </c>
      <c r="K47" s="300"/>
      <c r="L47" s="221"/>
      <c r="M47" s="330"/>
      <c r="N47" s="330"/>
      <c r="O47" s="330"/>
      <c r="P47" s="330"/>
      <c r="Q47" s="330"/>
      <c r="R47" s="330"/>
      <c r="S47" s="330"/>
      <c r="T47" s="330"/>
      <c r="U47" s="330"/>
      <c r="V47" s="217"/>
      <c r="W47" s="217"/>
      <c r="X47" s="217"/>
    </row>
    <row r="48" spans="1:24">
      <c r="A48" s="60"/>
      <c r="B48" s="913"/>
      <c r="C48" s="863" t="s">
        <v>934</v>
      </c>
      <c r="D48" s="863"/>
      <c r="E48" s="863"/>
      <c r="F48" s="863"/>
      <c r="G48" s="259">
        <v>56</v>
      </c>
      <c r="H48" s="62">
        <f>+Rentas!H181</f>
        <v>0</v>
      </c>
      <c r="I48" s="161"/>
      <c r="J48" s="63">
        <f t="shared" si="1"/>
        <v>0</v>
      </c>
      <c r="K48" s="300"/>
      <c r="L48" s="221"/>
      <c r="M48" s="330"/>
      <c r="N48" s="330"/>
      <c r="O48" s="330"/>
      <c r="P48" s="330"/>
      <c r="Q48" s="330"/>
      <c r="R48" s="330"/>
      <c r="S48" s="330"/>
      <c r="T48" s="330"/>
      <c r="U48" s="330"/>
      <c r="V48" s="217"/>
      <c r="W48" s="217"/>
      <c r="X48" s="217"/>
    </row>
    <row r="49" spans="1:24">
      <c r="A49" s="60"/>
      <c r="B49" s="913"/>
      <c r="C49" s="901" t="s">
        <v>931</v>
      </c>
      <c r="D49" s="901"/>
      <c r="E49" s="901"/>
      <c r="F49" s="901"/>
      <c r="G49" s="118">
        <v>57</v>
      </c>
      <c r="H49" s="260">
        <f>+H46-H48</f>
        <v>0</v>
      </c>
      <c r="I49" s="161"/>
      <c r="J49" s="165">
        <f t="shared" si="1"/>
        <v>0</v>
      </c>
      <c r="K49" s="300"/>
      <c r="L49" s="221"/>
      <c r="M49" s="330"/>
      <c r="N49" s="330"/>
      <c r="O49" s="330"/>
      <c r="P49" s="330"/>
      <c r="Q49" s="330"/>
      <c r="R49" s="330"/>
      <c r="S49" s="330"/>
      <c r="T49" s="330"/>
      <c r="U49" s="330"/>
      <c r="V49" s="217"/>
      <c r="W49" s="217"/>
      <c r="X49" s="217"/>
    </row>
    <row r="50" spans="1:24">
      <c r="A50" s="60"/>
      <c r="B50" s="911"/>
      <c r="C50" s="911"/>
      <c r="D50" s="911"/>
      <c r="E50" s="911"/>
      <c r="F50" s="911"/>
      <c r="G50" s="911"/>
      <c r="H50" s="911"/>
      <c r="I50" s="911"/>
      <c r="J50" s="911"/>
      <c r="K50" s="300"/>
      <c r="L50" s="221"/>
      <c r="M50" s="330"/>
      <c r="N50" s="330"/>
      <c r="O50" s="330"/>
      <c r="P50" s="330"/>
      <c r="Q50" s="330"/>
      <c r="R50" s="330"/>
      <c r="S50" s="330"/>
      <c r="T50" s="330"/>
      <c r="U50" s="330"/>
      <c r="V50" s="217"/>
      <c r="W50" s="217"/>
      <c r="X50" s="217"/>
    </row>
    <row r="51" spans="1:24">
      <c r="A51" s="60"/>
      <c r="B51" s="911"/>
      <c r="C51" s="911"/>
      <c r="D51" s="911"/>
      <c r="E51" s="911"/>
      <c r="F51" s="911"/>
      <c r="G51" s="911"/>
      <c r="H51" s="911"/>
      <c r="I51" s="911"/>
      <c r="J51" s="911"/>
      <c r="K51" s="300"/>
      <c r="L51" s="221"/>
      <c r="M51" s="330"/>
      <c r="N51" s="330"/>
      <c r="O51" s="330"/>
      <c r="P51" s="330"/>
      <c r="Q51" s="330"/>
      <c r="R51" s="330"/>
      <c r="S51" s="330"/>
      <c r="T51" s="330"/>
      <c r="U51" s="330"/>
      <c r="V51" s="217"/>
      <c r="W51" s="217"/>
      <c r="X51" s="217"/>
    </row>
    <row r="52" spans="1:24">
      <c r="A52" s="60"/>
      <c r="B52" s="900" t="s">
        <v>254</v>
      </c>
      <c r="C52" s="863" t="s">
        <v>932</v>
      </c>
      <c r="D52" s="863"/>
      <c r="E52" s="863"/>
      <c r="F52" s="863"/>
      <c r="G52" s="259">
        <v>58</v>
      </c>
      <c r="H52" s="262">
        <f>+Rentas!J50</f>
        <v>0</v>
      </c>
      <c r="I52" s="167"/>
      <c r="J52" s="63">
        <f>ROUND(+H52,-3)</f>
        <v>0</v>
      </c>
      <c r="K52" s="300"/>
      <c r="L52" s="221"/>
      <c r="M52" s="330"/>
      <c r="N52" s="330"/>
      <c r="O52" s="330"/>
      <c r="P52" s="330"/>
      <c r="Q52" s="330"/>
      <c r="R52" s="330"/>
      <c r="S52" s="330"/>
      <c r="T52" s="330"/>
      <c r="U52" s="330"/>
      <c r="V52" s="217"/>
      <c r="W52" s="217"/>
      <c r="X52" s="217"/>
    </row>
    <row r="53" spans="1:24">
      <c r="A53" s="60"/>
      <c r="B53" s="900"/>
      <c r="C53" s="863" t="s">
        <v>146</v>
      </c>
      <c r="D53" s="863"/>
      <c r="E53" s="863"/>
      <c r="F53" s="863"/>
      <c r="G53" s="259">
        <v>59</v>
      </c>
      <c r="H53" s="262">
        <f>+Rentas!J71</f>
        <v>0</v>
      </c>
      <c r="I53" s="167"/>
      <c r="J53" s="63">
        <f t="shared" ref="J53:J67" si="2">ROUND(+H53,-3)</f>
        <v>0</v>
      </c>
      <c r="K53" s="300"/>
      <c r="L53" s="221"/>
      <c r="M53" s="330"/>
      <c r="N53" s="330"/>
      <c r="O53" s="330"/>
      <c r="P53" s="330"/>
      <c r="Q53" s="330"/>
      <c r="R53" s="330"/>
      <c r="S53" s="330"/>
      <c r="T53" s="330"/>
      <c r="U53" s="330"/>
      <c r="V53" s="217"/>
      <c r="W53" s="217"/>
      <c r="X53" s="217"/>
    </row>
    <row r="54" spans="1:24">
      <c r="A54" s="60"/>
      <c r="B54" s="900"/>
      <c r="C54" s="863" t="s">
        <v>821</v>
      </c>
      <c r="D54" s="863"/>
      <c r="E54" s="863"/>
      <c r="F54" s="863"/>
      <c r="G54" s="259">
        <v>60</v>
      </c>
      <c r="H54" s="262">
        <f>+Rentas!J86</f>
        <v>0</v>
      </c>
      <c r="I54" s="167"/>
      <c r="J54" s="63">
        <f t="shared" si="2"/>
        <v>0</v>
      </c>
      <c r="K54" s="300"/>
      <c r="L54" s="221"/>
      <c r="M54" s="330"/>
      <c r="N54" s="330"/>
      <c r="O54" s="330"/>
      <c r="P54" s="330"/>
      <c r="Q54" s="330"/>
      <c r="R54" s="330"/>
      <c r="S54" s="330"/>
      <c r="T54" s="330"/>
      <c r="U54" s="330"/>
      <c r="V54" s="217"/>
      <c r="W54" s="217"/>
      <c r="X54" s="217"/>
    </row>
    <row r="55" spans="1:24">
      <c r="A55" s="60"/>
      <c r="B55" s="900"/>
      <c r="C55" s="901" t="s">
        <v>228</v>
      </c>
      <c r="D55" s="901"/>
      <c r="E55" s="901"/>
      <c r="F55" s="901"/>
      <c r="G55" s="119">
        <v>61</v>
      </c>
      <c r="H55" s="166">
        <f>IF((+H52-H53-H54)&gt;0,+H52-H53-H54,0)</f>
        <v>0</v>
      </c>
      <c r="I55" s="167"/>
      <c r="J55" s="165">
        <f t="shared" si="2"/>
        <v>0</v>
      </c>
      <c r="K55" s="300"/>
      <c r="L55" s="221"/>
      <c r="M55" s="217"/>
      <c r="N55" s="330"/>
      <c r="O55" s="330"/>
      <c r="P55" s="330"/>
      <c r="Q55" s="330"/>
      <c r="R55" s="330"/>
      <c r="S55" s="330"/>
      <c r="T55" s="330"/>
      <c r="U55" s="330"/>
      <c r="V55" s="217"/>
      <c r="W55" s="217"/>
      <c r="X55" s="217"/>
    </row>
    <row r="56" spans="1:24">
      <c r="A56" s="60"/>
      <c r="B56" s="900"/>
      <c r="C56" s="892" t="s">
        <v>822</v>
      </c>
      <c r="D56" s="893"/>
      <c r="E56" s="893"/>
      <c r="F56" s="894"/>
      <c r="G56" s="259">
        <v>62</v>
      </c>
      <c r="H56" s="262">
        <f>+Rentas!J114</f>
        <v>0</v>
      </c>
      <c r="I56" s="167"/>
      <c r="J56" s="63">
        <f t="shared" si="2"/>
        <v>0</v>
      </c>
      <c r="K56" s="300"/>
      <c r="L56" s="221"/>
      <c r="M56" s="217"/>
      <c r="N56" s="330"/>
      <c r="O56" s="330"/>
      <c r="P56" s="330"/>
      <c r="Q56" s="330"/>
      <c r="R56" s="330"/>
      <c r="S56" s="330"/>
      <c r="T56" s="330"/>
      <c r="U56" s="330"/>
      <c r="V56" s="217"/>
      <c r="W56" s="217"/>
      <c r="X56" s="217"/>
    </row>
    <row r="57" spans="1:24">
      <c r="A57" s="60"/>
      <c r="B57" s="900"/>
      <c r="C57" s="863" t="s">
        <v>926</v>
      </c>
      <c r="D57" s="863"/>
      <c r="E57" s="863"/>
      <c r="F57" s="863"/>
      <c r="G57" s="259">
        <v>63</v>
      </c>
      <c r="H57" s="62">
        <f>+Rentas!J121</f>
        <v>0</v>
      </c>
      <c r="I57" s="167"/>
      <c r="J57" s="63">
        <f t="shared" si="2"/>
        <v>0</v>
      </c>
      <c r="K57" s="300"/>
      <c r="L57" s="221"/>
      <c r="M57" s="217"/>
      <c r="N57" s="330"/>
      <c r="O57" s="330"/>
      <c r="P57" s="330"/>
      <c r="Q57" s="330"/>
      <c r="R57" s="330"/>
      <c r="S57" s="330"/>
      <c r="T57" s="330"/>
      <c r="U57" s="330"/>
      <c r="V57" s="217"/>
      <c r="W57" s="217"/>
      <c r="X57" s="217"/>
    </row>
    <row r="58" spans="1:24">
      <c r="A58" s="60"/>
      <c r="B58" s="900"/>
      <c r="C58" s="863" t="s">
        <v>927</v>
      </c>
      <c r="D58" s="863"/>
      <c r="E58" s="863"/>
      <c r="F58" s="863"/>
      <c r="G58" s="259">
        <v>64</v>
      </c>
      <c r="H58" s="62">
        <f>+Rentas!J129+Rentas!J130</f>
        <v>0</v>
      </c>
      <c r="I58" s="167"/>
      <c r="J58" s="63">
        <f t="shared" si="2"/>
        <v>0</v>
      </c>
      <c r="K58" s="300"/>
      <c r="L58" s="221"/>
      <c r="M58" s="217"/>
      <c r="N58" s="330"/>
      <c r="O58" s="330"/>
      <c r="P58" s="330"/>
      <c r="Q58" s="330"/>
      <c r="R58" s="330"/>
      <c r="S58" s="330"/>
      <c r="T58" s="330"/>
      <c r="U58" s="330"/>
      <c r="V58" s="217"/>
      <c r="W58" s="217"/>
      <c r="X58" s="217"/>
    </row>
    <row r="59" spans="1:24">
      <c r="A59" s="60"/>
      <c r="B59" s="900"/>
      <c r="C59" s="901" t="s">
        <v>914</v>
      </c>
      <c r="D59" s="901"/>
      <c r="E59" s="901"/>
      <c r="F59" s="901"/>
      <c r="G59" s="119">
        <v>65</v>
      </c>
      <c r="H59" s="260">
        <f>+H57+H58</f>
        <v>0</v>
      </c>
      <c r="I59" s="167"/>
      <c r="J59" s="165">
        <f t="shared" si="2"/>
        <v>0</v>
      </c>
      <c r="K59" s="300"/>
      <c r="L59" s="221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</row>
    <row r="60" spans="1:24">
      <c r="A60" s="60"/>
      <c r="B60" s="900"/>
      <c r="C60" s="863" t="s">
        <v>907</v>
      </c>
      <c r="D60" s="863"/>
      <c r="E60" s="863"/>
      <c r="F60" s="863"/>
      <c r="G60" s="259">
        <v>66</v>
      </c>
      <c r="H60" s="62">
        <f>+Rentas!J136</f>
        <v>0</v>
      </c>
      <c r="I60" s="167"/>
      <c r="J60" s="63">
        <f t="shared" si="2"/>
        <v>0</v>
      </c>
      <c r="K60" s="300"/>
      <c r="L60" s="221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</row>
    <row r="61" spans="1:24">
      <c r="A61" s="60"/>
      <c r="B61" s="900"/>
      <c r="C61" s="863" t="s">
        <v>928</v>
      </c>
      <c r="D61" s="863"/>
      <c r="E61" s="863"/>
      <c r="F61" s="863"/>
      <c r="G61" s="259">
        <v>67</v>
      </c>
      <c r="H61" s="62">
        <f>+Rentas!J149-Rentas!J136</f>
        <v>0</v>
      </c>
      <c r="I61" s="167"/>
      <c r="J61" s="63">
        <f t="shared" si="2"/>
        <v>0</v>
      </c>
      <c r="K61" s="300"/>
      <c r="L61" s="221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</row>
    <row r="62" spans="1:24">
      <c r="A62" s="60"/>
      <c r="B62" s="900"/>
      <c r="C62" s="901" t="s">
        <v>929</v>
      </c>
      <c r="D62" s="901"/>
      <c r="E62" s="901"/>
      <c r="F62" s="901"/>
      <c r="G62" s="118">
        <v>68</v>
      </c>
      <c r="H62" s="260">
        <f>+H60+H61</f>
        <v>0</v>
      </c>
      <c r="I62" s="167"/>
      <c r="J62" s="165">
        <f t="shared" si="2"/>
        <v>0</v>
      </c>
      <c r="K62" s="300"/>
      <c r="L62" s="221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</row>
    <row r="63" spans="1:24">
      <c r="A63" s="60"/>
      <c r="B63" s="900"/>
      <c r="C63" s="901" t="s">
        <v>930</v>
      </c>
      <c r="D63" s="901"/>
      <c r="E63" s="901"/>
      <c r="F63" s="901"/>
      <c r="G63" s="118">
        <v>69</v>
      </c>
      <c r="H63" s="260">
        <f>+Rentas!J175</f>
        <v>0</v>
      </c>
      <c r="I63" s="167"/>
      <c r="J63" s="165">
        <f t="shared" si="2"/>
        <v>0</v>
      </c>
      <c r="K63" s="300"/>
      <c r="L63" s="221"/>
      <c r="M63" s="217"/>
      <c r="N63" s="914" t="s">
        <v>263</v>
      </c>
      <c r="O63" s="915"/>
      <c r="P63" s="915"/>
      <c r="Q63" s="915"/>
      <c r="R63" s="915"/>
      <c r="S63" s="915"/>
      <c r="T63" s="915"/>
      <c r="U63" s="217"/>
      <c r="V63" s="1030" t="s">
        <v>1076</v>
      </c>
      <c r="W63" s="217"/>
      <c r="X63" s="217"/>
    </row>
    <row r="64" spans="1:24" ht="13.5">
      <c r="A64" s="60"/>
      <c r="B64" s="900"/>
      <c r="C64" s="901" t="s">
        <v>258</v>
      </c>
      <c r="D64" s="901"/>
      <c r="E64" s="901"/>
      <c r="F64" s="901"/>
      <c r="G64" s="118">
        <v>70</v>
      </c>
      <c r="H64" s="260">
        <f>IF((+H52+H56-H53-H54-H63)&gt;=0,+H52-H53-H54+H56-H63,0)</f>
        <v>0</v>
      </c>
      <c r="I64" s="263"/>
      <c r="J64" s="165">
        <f t="shared" si="2"/>
        <v>0</v>
      </c>
      <c r="K64" s="300"/>
      <c r="L64" s="221"/>
      <c r="M64" s="217"/>
      <c r="N64" s="916" t="s">
        <v>115</v>
      </c>
      <c r="O64" s="917"/>
      <c r="P64" s="918"/>
      <c r="Q64" s="217"/>
      <c r="R64" s="75" t="s">
        <v>264</v>
      </c>
      <c r="S64" s="217"/>
      <c r="T64" s="74">
        <f>+J105</f>
        <v>0</v>
      </c>
      <c r="U64" s="217"/>
      <c r="V64" s="1031"/>
      <c r="W64" s="217"/>
      <c r="X64" s="217"/>
    </row>
    <row r="65" spans="1:24" ht="13.5">
      <c r="A65" s="60"/>
      <c r="B65" s="900"/>
      <c r="C65" s="901" t="s">
        <v>255</v>
      </c>
      <c r="D65" s="901"/>
      <c r="E65" s="901"/>
      <c r="F65" s="901"/>
      <c r="G65" s="118">
        <v>71</v>
      </c>
      <c r="H65" s="260">
        <f>IF((+H52-H53-H54+H56-H63)&lt;0,-H52-H56+H53+H54+H63,0)</f>
        <v>0</v>
      </c>
      <c r="I65" s="263"/>
      <c r="J65" s="165">
        <f t="shared" si="2"/>
        <v>0</v>
      </c>
      <c r="K65" s="300"/>
      <c r="L65" s="221"/>
      <c r="M65" s="217"/>
      <c r="N65" s="76" t="s">
        <v>139</v>
      </c>
      <c r="O65" s="217"/>
      <c r="P65" s="74">
        <f>+P20</f>
        <v>49799</v>
      </c>
      <c r="Q65" s="217"/>
      <c r="R65" s="919" t="s">
        <v>116</v>
      </c>
      <c r="S65" s="217"/>
      <c r="T65" s="171">
        <f>+T64/P65</f>
        <v>0</v>
      </c>
      <c r="U65" s="217"/>
      <c r="V65" s="1032"/>
      <c r="W65" s="217"/>
      <c r="X65" s="217"/>
    </row>
    <row r="66" spans="1:24">
      <c r="A66" s="60"/>
      <c r="B66" s="900"/>
      <c r="C66" s="863" t="s">
        <v>934</v>
      </c>
      <c r="D66" s="863"/>
      <c r="E66" s="863"/>
      <c r="F66" s="863"/>
      <c r="G66" s="259">
        <v>72</v>
      </c>
      <c r="H66" s="62">
        <f>+Rentas!J181</f>
        <v>0</v>
      </c>
      <c r="I66" s="167"/>
      <c r="J66" s="63">
        <f t="shared" si="2"/>
        <v>0</v>
      </c>
      <c r="K66" s="300"/>
      <c r="L66" s="221"/>
      <c r="M66" s="217"/>
      <c r="N66" s="217"/>
      <c r="O66" s="217"/>
      <c r="P66" s="217"/>
      <c r="Q66" s="217"/>
      <c r="R66" s="920"/>
      <c r="S66" s="217"/>
      <c r="T66" s="217"/>
      <c r="U66" s="217"/>
      <c r="V66" s="217"/>
      <c r="W66" s="217"/>
      <c r="X66" s="217"/>
    </row>
    <row r="67" spans="1:24" ht="13.5">
      <c r="A67" s="60"/>
      <c r="B67" s="900"/>
      <c r="C67" s="901" t="s">
        <v>931</v>
      </c>
      <c r="D67" s="901"/>
      <c r="E67" s="901"/>
      <c r="F67" s="901"/>
      <c r="G67" s="118">
        <v>73</v>
      </c>
      <c r="H67" s="260">
        <f>+H64-H66</f>
        <v>0</v>
      </c>
      <c r="I67" s="167"/>
      <c r="J67" s="165">
        <f t="shared" si="2"/>
        <v>0</v>
      </c>
      <c r="K67" s="300"/>
      <c r="L67" s="221"/>
      <c r="M67" s="217"/>
      <c r="N67" s="924" t="s">
        <v>109</v>
      </c>
      <c r="O67" s="925"/>
      <c r="P67" s="926"/>
      <c r="Q67" s="217"/>
      <c r="R67" s="919" t="s">
        <v>112</v>
      </c>
      <c r="S67" s="217"/>
      <c r="T67" s="927" t="s">
        <v>113</v>
      </c>
      <c r="U67" s="217"/>
      <c r="V67" s="217"/>
      <c r="W67" s="217"/>
      <c r="X67" s="217"/>
    </row>
    <row r="68" spans="1:24" ht="21" customHeight="1">
      <c r="A68" s="60"/>
      <c r="B68" s="224"/>
      <c r="C68" s="224"/>
      <c r="D68" s="225"/>
      <c r="E68" s="225"/>
      <c r="F68" s="225"/>
      <c r="G68" s="226"/>
      <c r="H68" s="227"/>
      <c r="I68" s="227"/>
      <c r="J68" s="227"/>
      <c r="K68" s="300"/>
      <c r="L68" s="221"/>
      <c r="M68" s="217"/>
      <c r="N68" s="172" t="s">
        <v>110</v>
      </c>
      <c r="O68" s="217"/>
      <c r="P68" s="172" t="s">
        <v>111</v>
      </c>
      <c r="Q68" s="217"/>
      <c r="R68" s="920"/>
      <c r="S68" s="217"/>
      <c r="T68" s="928"/>
      <c r="U68" s="217"/>
      <c r="V68" s="217"/>
      <c r="W68" s="217"/>
      <c r="X68" s="217"/>
    </row>
    <row r="69" spans="1:24">
      <c r="A69" s="60"/>
      <c r="B69" s="900" t="s">
        <v>256</v>
      </c>
      <c r="C69" s="863" t="s">
        <v>932</v>
      </c>
      <c r="D69" s="863"/>
      <c r="E69" s="863"/>
      <c r="F69" s="863"/>
      <c r="G69" s="259">
        <v>74</v>
      </c>
      <c r="H69" s="62">
        <f>+Rentas!L50</f>
        <v>0</v>
      </c>
      <c r="I69" s="161"/>
      <c r="J69" s="63">
        <f>ROUND(+H69,-3)</f>
        <v>0</v>
      </c>
      <c r="K69" s="300"/>
      <c r="L69" s="222"/>
      <c r="M69" s="217"/>
      <c r="N69" s="65" t="s">
        <v>114</v>
      </c>
      <c r="O69" s="217"/>
      <c r="P69" s="65">
        <v>1090</v>
      </c>
      <c r="Q69" s="217"/>
      <c r="R69" s="68">
        <v>0</v>
      </c>
      <c r="S69" s="217"/>
      <c r="T69" s="71">
        <f>IF(+T65&lt;=1090,0,0)</f>
        <v>0</v>
      </c>
      <c r="U69" s="217"/>
      <c r="V69" s="217"/>
      <c r="W69" s="217"/>
      <c r="X69" s="217"/>
    </row>
    <row r="70" spans="1:24">
      <c r="A70" s="60"/>
      <c r="B70" s="900"/>
      <c r="C70" s="863" t="s">
        <v>257</v>
      </c>
      <c r="D70" s="863"/>
      <c r="E70" s="863"/>
      <c r="F70" s="863"/>
      <c r="G70" s="259">
        <v>75</v>
      </c>
      <c r="H70" s="62">
        <f>+Rentas!L54</f>
        <v>0</v>
      </c>
      <c r="I70" s="161"/>
      <c r="J70" s="63">
        <f t="shared" ref="J70:J85" si="3">ROUND(+H70,-3)</f>
        <v>0</v>
      </c>
      <c r="K70" s="300"/>
      <c r="L70" s="222"/>
      <c r="M70" s="217"/>
      <c r="N70" s="66" t="s">
        <v>117</v>
      </c>
      <c r="O70" s="217"/>
      <c r="P70" s="66">
        <v>1700</v>
      </c>
      <c r="Q70" s="217"/>
      <c r="R70" s="69">
        <v>0.19</v>
      </c>
      <c r="S70" s="217"/>
      <c r="T70" s="267" t="b">
        <f>IF(+T65&gt;1090,IF(+T65&lt;=1700,+(T65-1090)*0.19*P65,0))</f>
        <v>0</v>
      </c>
      <c r="U70" s="217"/>
      <c r="V70" s="217"/>
      <c r="W70" s="217"/>
      <c r="X70" s="217"/>
    </row>
    <row r="71" spans="1:24">
      <c r="A71" s="60"/>
      <c r="B71" s="900"/>
      <c r="C71" s="863" t="s">
        <v>146</v>
      </c>
      <c r="D71" s="863"/>
      <c r="E71" s="863"/>
      <c r="F71" s="863"/>
      <c r="G71" s="259">
        <v>76</v>
      </c>
      <c r="H71" s="62">
        <f>+Rentas!L71</f>
        <v>0</v>
      </c>
      <c r="I71" s="161"/>
      <c r="J71" s="63">
        <f t="shared" si="3"/>
        <v>0</v>
      </c>
      <c r="K71" s="300"/>
      <c r="L71" s="222"/>
      <c r="M71" s="217"/>
      <c r="N71" s="66" t="s">
        <v>118</v>
      </c>
      <c r="O71" s="217"/>
      <c r="P71" s="66">
        <v>4100</v>
      </c>
      <c r="Q71" s="217"/>
      <c r="R71" s="69">
        <v>0.28000000000000003</v>
      </c>
      <c r="S71" s="217"/>
      <c r="T71" s="72" t="b">
        <f>IF(+T65&gt;1700,IF(+T65&lt;=4100,+((T65-1700)*0.28+116)*P65,0))</f>
        <v>0</v>
      </c>
      <c r="U71" s="217"/>
      <c r="V71" s="217"/>
      <c r="W71" s="217"/>
      <c r="X71" s="217"/>
    </row>
    <row r="72" spans="1:24">
      <c r="A72" s="60"/>
      <c r="B72" s="900"/>
      <c r="C72" s="863" t="s">
        <v>821</v>
      </c>
      <c r="D72" s="863"/>
      <c r="E72" s="863"/>
      <c r="F72" s="863"/>
      <c r="G72" s="259">
        <v>77</v>
      </c>
      <c r="H72" s="62">
        <f>+Rentas!L86</f>
        <v>0</v>
      </c>
      <c r="I72" s="161"/>
      <c r="J72" s="63">
        <f t="shared" si="3"/>
        <v>0</v>
      </c>
      <c r="K72" s="300"/>
      <c r="L72" s="222"/>
      <c r="M72" s="217"/>
      <c r="N72" s="67" t="s">
        <v>119</v>
      </c>
      <c r="O72" s="217"/>
      <c r="P72" s="67" t="s">
        <v>120</v>
      </c>
      <c r="Q72" s="217"/>
      <c r="R72" s="70">
        <v>0.33</v>
      </c>
      <c r="S72" s="217"/>
      <c r="T72" s="73">
        <f>IF(+T65&gt;4100,+((T65-4100)*0.33+788)*P65,0)</f>
        <v>0</v>
      </c>
      <c r="U72" s="217"/>
      <c r="V72" s="217"/>
      <c r="W72" s="217"/>
      <c r="X72" s="217"/>
    </row>
    <row r="73" spans="1:24" ht="13.5">
      <c r="A73" s="60"/>
      <c r="B73" s="900"/>
      <c r="C73" s="901" t="s">
        <v>228</v>
      </c>
      <c r="D73" s="901"/>
      <c r="E73" s="901"/>
      <c r="F73" s="901"/>
      <c r="G73" s="119">
        <v>78</v>
      </c>
      <c r="H73" s="260">
        <f>IF((+H69-H70-H71-H72)&gt;0,+H69-H70-H71-H72,0)</f>
        <v>0</v>
      </c>
      <c r="I73" s="161"/>
      <c r="J73" s="165">
        <f t="shared" si="3"/>
        <v>0</v>
      </c>
      <c r="K73" s="300"/>
      <c r="L73" s="222"/>
      <c r="M73" s="217"/>
      <c r="N73" s="217"/>
      <c r="O73" s="217"/>
      <c r="P73" s="217"/>
      <c r="Q73" s="217"/>
      <c r="R73" s="264" t="s">
        <v>262</v>
      </c>
      <c r="S73" s="217"/>
      <c r="T73" s="265">
        <f>ROUND(+T69+T70+T71+T72,-3)</f>
        <v>0</v>
      </c>
      <c r="U73" s="217"/>
      <c r="V73" s="217"/>
      <c r="W73" s="217"/>
      <c r="X73" s="217"/>
    </row>
    <row r="74" spans="1:24">
      <c r="A74" s="60"/>
      <c r="B74" s="900"/>
      <c r="C74" s="863" t="s">
        <v>283</v>
      </c>
      <c r="D74" s="863"/>
      <c r="E74" s="863"/>
      <c r="F74" s="863"/>
      <c r="G74" s="259">
        <v>79</v>
      </c>
      <c r="H74" s="62">
        <f>+Rentas!L114</f>
        <v>0</v>
      </c>
      <c r="I74" s="161"/>
      <c r="J74" s="63">
        <f t="shared" si="3"/>
        <v>0</v>
      </c>
      <c r="K74" s="300"/>
      <c r="L74" s="222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</row>
    <row r="75" spans="1:24">
      <c r="A75" s="60"/>
      <c r="B75" s="900"/>
      <c r="C75" s="863" t="s">
        <v>926</v>
      </c>
      <c r="D75" s="863"/>
      <c r="E75" s="863"/>
      <c r="F75" s="863"/>
      <c r="G75" s="259">
        <v>80</v>
      </c>
      <c r="H75" s="62">
        <f>+Rentas!L121</f>
        <v>0</v>
      </c>
      <c r="I75" s="161"/>
      <c r="J75" s="63">
        <f t="shared" si="3"/>
        <v>0</v>
      </c>
      <c r="K75" s="300"/>
      <c r="L75" s="221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</row>
    <row r="76" spans="1:24">
      <c r="A76" s="60"/>
      <c r="B76" s="900"/>
      <c r="C76" s="863" t="s">
        <v>927</v>
      </c>
      <c r="D76" s="863"/>
      <c r="E76" s="863"/>
      <c r="F76" s="863"/>
      <c r="G76" s="259">
        <v>81</v>
      </c>
      <c r="H76" s="62">
        <f>+Rentas!L129+Rentas!L130</f>
        <v>0</v>
      </c>
      <c r="I76" s="161"/>
      <c r="J76" s="63">
        <f t="shared" si="3"/>
        <v>0</v>
      </c>
      <c r="K76" s="300"/>
      <c r="L76" s="221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</row>
    <row r="77" spans="1:24">
      <c r="A77" s="60"/>
      <c r="B77" s="900"/>
      <c r="C77" s="901" t="s">
        <v>914</v>
      </c>
      <c r="D77" s="901"/>
      <c r="E77" s="901"/>
      <c r="F77" s="901"/>
      <c r="G77" s="119">
        <v>82</v>
      </c>
      <c r="H77" s="260">
        <f>+H75+H76</f>
        <v>0</v>
      </c>
      <c r="I77" s="161"/>
      <c r="J77" s="165">
        <f t="shared" si="3"/>
        <v>0</v>
      </c>
      <c r="K77" s="300"/>
      <c r="L77" s="221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</row>
    <row r="78" spans="1:24">
      <c r="A78" s="60"/>
      <c r="B78" s="900"/>
      <c r="C78" s="863" t="s">
        <v>907</v>
      </c>
      <c r="D78" s="863"/>
      <c r="E78" s="863"/>
      <c r="F78" s="863"/>
      <c r="G78" s="259">
        <v>83</v>
      </c>
      <c r="H78" s="62">
        <f>+Rentas!L136</f>
        <v>0</v>
      </c>
      <c r="I78" s="161"/>
      <c r="J78" s="63">
        <f t="shared" si="3"/>
        <v>0</v>
      </c>
      <c r="K78" s="300"/>
      <c r="L78" s="221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</row>
    <row r="79" spans="1:24">
      <c r="A79" s="60"/>
      <c r="B79" s="900"/>
      <c r="C79" s="863" t="s">
        <v>928</v>
      </c>
      <c r="D79" s="863"/>
      <c r="E79" s="863"/>
      <c r="F79" s="863"/>
      <c r="G79" s="259">
        <v>84</v>
      </c>
      <c r="H79" s="62">
        <f>+Rentas!L149-Rentas!L136</f>
        <v>0</v>
      </c>
      <c r="I79" s="161"/>
      <c r="J79" s="63">
        <f t="shared" si="3"/>
        <v>0</v>
      </c>
      <c r="K79" s="300"/>
      <c r="L79" s="221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</row>
    <row r="80" spans="1:24">
      <c r="A80" s="60"/>
      <c r="B80" s="900"/>
      <c r="C80" s="901" t="s">
        <v>929</v>
      </c>
      <c r="D80" s="901"/>
      <c r="E80" s="901"/>
      <c r="F80" s="901"/>
      <c r="G80" s="118">
        <v>85</v>
      </c>
      <c r="H80" s="260">
        <f>+H78+H79</f>
        <v>0</v>
      </c>
      <c r="I80" s="161"/>
      <c r="J80" s="165">
        <f t="shared" si="3"/>
        <v>0</v>
      </c>
      <c r="K80" s="300"/>
      <c r="L80" s="221"/>
      <c r="M80" s="217"/>
      <c r="N80" s="890" t="s">
        <v>1073</v>
      </c>
      <c r="O80" s="890"/>
      <c r="P80" s="890"/>
      <c r="Q80" s="890"/>
      <c r="R80" s="890"/>
      <c r="S80" s="890"/>
      <c r="T80" s="890"/>
      <c r="U80" s="217"/>
      <c r="V80" s="1030" t="s">
        <v>1077</v>
      </c>
      <c r="W80" s="217"/>
      <c r="X80" s="217"/>
    </row>
    <row r="81" spans="1:24">
      <c r="A81" s="60"/>
      <c r="B81" s="900"/>
      <c r="C81" s="901" t="s">
        <v>930</v>
      </c>
      <c r="D81" s="901"/>
      <c r="E81" s="901"/>
      <c r="F81" s="901"/>
      <c r="G81" s="118">
        <v>86</v>
      </c>
      <c r="H81" s="260">
        <f>+Rentas!L175</f>
        <v>0</v>
      </c>
      <c r="I81" s="161"/>
      <c r="J81" s="165">
        <f t="shared" si="3"/>
        <v>0</v>
      </c>
      <c r="K81" s="300"/>
      <c r="L81" s="222"/>
      <c r="M81" s="217"/>
      <c r="N81" s="890"/>
      <c r="O81" s="890"/>
      <c r="P81" s="890"/>
      <c r="Q81" s="890"/>
      <c r="R81" s="890"/>
      <c r="S81" s="890"/>
      <c r="T81" s="890"/>
      <c r="U81" s="217"/>
      <c r="V81" s="1031"/>
      <c r="W81" s="217"/>
      <c r="X81" s="217"/>
    </row>
    <row r="82" spans="1:24" ht="13.5">
      <c r="A82" s="60"/>
      <c r="B82" s="900"/>
      <c r="C82" s="901" t="s">
        <v>258</v>
      </c>
      <c r="D82" s="901"/>
      <c r="E82" s="901"/>
      <c r="F82" s="901"/>
      <c r="G82" s="118">
        <v>87</v>
      </c>
      <c r="H82" s="260">
        <f>IF((+H69+H74-H70-H71-H72-H81)&gt;=0,+H69+H74-H70-H71-H72-H81,0)</f>
        <v>0</v>
      </c>
      <c r="I82" s="161"/>
      <c r="J82" s="165">
        <f t="shared" si="3"/>
        <v>0</v>
      </c>
      <c r="K82" s="300"/>
      <c r="L82" s="222"/>
      <c r="M82" s="217"/>
      <c r="N82" s="916" t="s">
        <v>115</v>
      </c>
      <c r="O82" s="917"/>
      <c r="P82" s="918"/>
      <c r="Q82" s="217"/>
      <c r="R82" s="75" t="s">
        <v>264</v>
      </c>
      <c r="S82" s="217"/>
      <c r="T82" s="74">
        <f>+J106+J120</f>
        <v>0</v>
      </c>
      <c r="U82" s="217"/>
      <c r="V82" s="1032"/>
      <c r="W82" s="217"/>
      <c r="X82" s="217"/>
    </row>
    <row r="83" spans="1:24" ht="13.5">
      <c r="A83" s="60"/>
      <c r="B83" s="900"/>
      <c r="C83" s="901" t="s">
        <v>255</v>
      </c>
      <c r="D83" s="901"/>
      <c r="E83" s="901"/>
      <c r="F83" s="901"/>
      <c r="G83" s="118">
        <v>88</v>
      </c>
      <c r="H83" s="260">
        <f>IF((+H69-H70-H71-H72+H74)&lt;0,-H69-H74+H70+H71+H72,0)</f>
        <v>0</v>
      </c>
      <c r="I83" s="161"/>
      <c r="J83" s="165">
        <f t="shared" si="3"/>
        <v>0</v>
      </c>
      <c r="K83" s="300"/>
      <c r="L83" s="221"/>
      <c r="M83" s="217"/>
      <c r="N83" s="76" t="s">
        <v>139</v>
      </c>
      <c r="O83" s="217"/>
      <c r="P83" s="74">
        <f>+P65</f>
        <v>49799</v>
      </c>
      <c r="Q83" s="217"/>
      <c r="R83" s="919" t="s">
        <v>116</v>
      </c>
      <c r="S83" s="217"/>
      <c r="T83" s="171">
        <f>+T82/P83</f>
        <v>0</v>
      </c>
      <c r="U83" s="217"/>
      <c r="V83" s="217"/>
      <c r="W83" s="217"/>
      <c r="X83" s="217"/>
    </row>
    <row r="84" spans="1:24">
      <c r="A84" s="60"/>
      <c r="B84" s="900"/>
      <c r="C84" s="863" t="s">
        <v>934</v>
      </c>
      <c r="D84" s="863"/>
      <c r="E84" s="863"/>
      <c r="F84" s="863"/>
      <c r="G84" s="259">
        <v>89</v>
      </c>
      <c r="H84" s="62">
        <f>+Rentas!L181</f>
        <v>0</v>
      </c>
      <c r="I84" s="161"/>
      <c r="J84" s="63">
        <f t="shared" si="3"/>
        <v>0</v>
      </c>
      <c r="K84" s="300"/>
      <c r="L84" s="221"/>
      <c r="M84" s="217"/>
      <c r="N84" s="217"/>
      <c r="O84" s="217"/>
      <c r="P84" s="217"/>
      <c r="Q84" s="217"/>
      <c r="R84" s="920"/>
      <c r="S84" s="217"/>
      <c r="T84" s="217"/>
      <c r="U84" s="217"/>
      <c r="V84" s="217"/>
      <c r="W84" s="217"/>
      <c r="X84" s="217"/>
    </row>
    <row r="85" spans="1:24" ht="13.5">
      <c r="A85" s="60"/>
      <c r="B85" s="900"/>
      <c r="C85" s="901" t="s">
        <v>931</v>
      </c>
      <c r="D85" s="901"/>
      <c r="E85" s="901"/>
      <c r="F85" s="901"/>
      <c r="G85" s="118">
        <v>90</v>
      </c>
      <c r="H85" s="260">
        <f>+H82-H84</f>
        <v>0</v>
      </c>
      <c r="I85" s="161"/>
      <c r="J85" s="165">
        <f t="shared" si="3"/>
        <v>0</v>
      </c>
      <c r="K85" s="300"/>
      <c r="L85" s="221"/>
      <c r="M85" s="217"/>
      <c r="N85" s="924" t="s">
        <v>109</v>
      </c>
      <c r="O85" s="925"/>
      <c r="P85" s="926"/>
      <c r="Q85" s="217"/>
      <c r="R85" s="919" t="s">
        <v>112</v>
      </c>
      <c r="S85" s="217"/>
      <c r="T85" s="927" t="s">
        <v>113</v>
      </c>
      <c r="U85" s="217"/>
      <c r="V85" s="217"/>
      <c r="W85" s="217"/>
      <c r="X85" s="217"/>
    </row>
    <row r="86" spans="1:24" ht="21" customHeight="1">
      <c r="A86" s="60"/>
      <c r="B86" s="224"/>
      <c r="C86" s="224"/>
      <c r="D86" s="225"/>
      <c r="E86" s="225"/>
      <c r="F86" s="225"/>
      <c r="G86" s="226"/>
      <c r="H86" s="227"/>
      <c r="I86" s="227"/>
      <c r="J86" s="227"/>
      <c r="K86" s="300"/>
      <c r="L86" s="221"/>
      <c r="M86" s="217"/>
      <c r="N86" s="172" t="s">
        <v>110</v>
      </c>
      <c r="O86" s="217"/>
      <c r="P86" s="172" t="s">
        <v>111</v>
      </c>
      <c r="Q86" s="217"/>
      <c r="R86" s="920"/>
      <c r="S86" s="217"/>
      <c r="T86" s="928"/>
      <c r="U86" s="217"/>
      <c r="V86" s="217"/>
      <c r="W86" s="217"/>
      <c r="X86" s="217"/>
    </row>
    <row r="87" spans="1:24" ht="15.75">
      <c r="A87" s="60"/>
      <c r="B87" s="921" t="s">
        <v>845</v>
      </c>
      <c r="C87" s="922"/>
      <c r="D87" s="922"/>
      <c r="E87" s="922"/>
      <c r="F87" s="923"/>
      <c r="G87" s="119">
        <v>91</v>
      </c>
      <c r="H87" s="60"/>
      <c r="I87" s="60"/>
      <c r="J87" s="260">
        <f>+Rentas!F185</f>
        <v>0</v>
      </c>
      <c r="K87" s="300"/>
      <c r="L87" s="332"/>
      <c r="M87" s="217"/>
      <c r="N87" s="65" t="s">
        <v>114</v>
      </c>
      <c r="O87" s="217"/>
      <c r="P87" s="65">
        <v>1090</v>
      </c>
      <c r="Q87" s="217"/>
      <c r="R87" s="68">
        <v>0</v>
      </c>
      <c r="S87" s="217"/>
      <c r="T87" s="319">
        <f>IF(+T83&lt;=1090,0,0)</f>
        <v>0</v>
      </c>
      <c r="U87" s="217"/>
      <c r="V87" s="217"/>
      <c r="W87" s="217"/>
      <c r="X87" s="217"/>
    </row>
    <row r="88" spans="1:24">
      <c r="A88" s="60"/>
      <c r="B88" s="921" t="s">
        <v>826</v>
      </c>
      <c r="C88" s="922"/>
      <c r="D88" s="922"/>
      <c r="E88" s="922"/>
      <c r="F88" s="923"/>
      <c r="G88" s="119">
        <v>92</v>
      </c>
      <c r="H88" s="60"/>
      <c r="I88" s="60"/>
      <c r="J88" s="260">
        <f>+Rentas!F187</f>
        <v>0</v>
      </c>
      <c r="K88" s="300"/>
      <c r="L88" s="217"/>
      <c r="M88" s="217"/>
      <c r="N88" s="268" t="s">
        <v>1074</v>
      </c>
      <c r="O88" s="217"/>
      <c r="P88" s="268" t="s">
        <v>265</v>
      </c>
      <c r="Q88" s="217"/>
      <c r="R88" s="318">
        <v>0.19</v>
      </c>
      <c r="S88" s="217"/>
      <c r="T88" s="267">
        <f>IF(+T83&gt;1090,+(T83-1090)*0.19*P83,0)</f>
        <v>0</v>
      </c>
      <c r="U88" s="217"/>
      <c r="V88" s="217"/>
      <c r="W88" s="217"/>
      <c r="X88" s="217"/>
    </row>
    <row r="89" spans="1:24" ht="13.5">
      <c r="A89" s="60"/>
      <c r="B89" s="921" t="s">
        <v>827</v>
      </c>
      <c r="C89" s="922"/>
      <c r="D89" s="922"/>
      <c r="E89" s="922"/>
      <c r="F89" s="923"/>
      <c r="G89" s="119">
        <v>93</v>
      </c>
      <c r="H89" s="60"/>
      <c r="I89" s="60"/>
      <c r="J89" s="260">
        <f>+J87-J88</f>
        <v>0</v>
      </c>
      <c r="K89" s="300"/>
      <c r="L89" s="217"/>
      <c r="M89" s="217"/>
      <c r="N89" s="217"/>
      <c r="O89" s="217"/>
      <c r="P89" s="217"/>
      <c r="Q89" s="217"/>
      <c r="R89" s="264" t="s">
        <v>262</v>
      </c>
      <c r="S89" s="217"/>
      <c r="T89" s="265">
        <f>ROUND(+T87+T88,-3)</f>
        <v>0</v>
      </c>
      <c r="U89" s="217"/>
      <c r="V89" s="217"/>
      <c r="W89" s="217"/>
      <c r="X89" s="217"/>
    </row>
    <row r="90" spans="1:24">
      <c r="A90" s="60"/>
      <c r="B90" s="921" t="s">
        <v>935</v>
      </c>
      <c r="C90" s="922"/>
      <c r="D90" s="922"/>
      <c r="E90" s="922"/>
      <c r="F90" s="923"/>
      <c r="G90" s="119">
        <v>94</v>
      </c>
      <c r="H90" s="60"/>
      <c r="I90" s="60"/>
      <c r="J90" s="260">
        <f>+Rentas!F195</f>
        <v>0</v>
      </c>
      <c r="K90" s="300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</row>
    <row r="91" spans="1:24">
      <c r="A91" s="60"/>
      <c r="B91" s="921" t="s">
        <v>830</v>
      </c>
      <c r="C91" s="922"/>
      <c r="D91" s="922"/>
      <c r="E91" s="922"/>
      <c r="F91" s="923"/>
      <c r="G91" s="119">
        <v>95</v>
      </c>
      <c r="H91" s="60"/>
      <c r="I91" s="60"/>
      <c r="J91" s="260">
        <f>+Rentas!F197</f>
        <v>0</v>
      </c>
      <c r="K91" s="300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</row>
    <row r="92" spans="1:24">
      <c r="A92" s="60"/>
      <c r="B92" s="921" t="s">
        <v>831</v>
      </c>
      <c r="C92" s="922"/>
      <c r="D92" s="922"/>
      <c r="E92" s="922"/>
      <c r="F92" s="923"/>
      <c r="G92" s="119">
        <v>96</v>
      </c>
      <c r="H92" s="60"/>
      <c r="I92" s="60"/>
      <c r="J92" s="260">
        <f>+Rentas!F205</f>
        <v>0</v>
      </c>
      <c r="K92" s="300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</row>
    <row r="93" spans="1:24" ht="12.75" customHeight="1">
      <c r="A93" s="60"/>
      <c r="B93" s="921" t="s">
        <v>834</v>
      </c>
      <c r="C93" s="922"/>
      <c r="D93" s="922"/>
      <c r="E93" s="922"/>
      <c r="F93" s="923"/>
      <c r="G93" s="119">
        <v>97</v>
      </c>
      <c r="H93" s="60"/>
      <c r="I93" s="60"/>
      <c r="J93" s="260">
        <f>+Rentas!F207</f>
        <v>0</v>
      </c>
      <c r="K93" s="300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</row>
    <row r="94" spans="1:24" ht="21" customHeight="1">
      <c r="A94" s="60"/>
      <c r="B94" s="224"/>
      <c r="C94" s="224"/>
      <c r="D94" s="225"/>
      <c r="E94" s="225"/>
      <c r="F94" s="225"/>
      <c r="G94" s="226"/>
      <c r="H94" s="227"/>
      <c r="I94" s="227"/>
      <c r="J94" s="227"/>
      <c r="K94" s="300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</row>
    <row r="95" spans="1:24">
      <c r="A95" s="60"/>
      <c r="B95" s="921" t="s">
        <v>8</v>
      </c>
      <c r="C95" s="922"/>
      <c r="D95" s="922"/>
      <c r="E95" s="922"/>
      <c r="F95" s="923"/>
      <c r="G95" s="119">
        <v>98</v>
      </c>
      <c r="H95" s="60"/>
      <c r="I95" s="60"/>
      <c r="J95" s="260">
        <f>+'Rtas Especiales'!T60</f>
        <v>0</v>
      </c>
      <c r="K95" s="300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</row>
    <row r="96" spans="1:24" ht="21" customHeight="1">
      <c r="A96" s="60"/>
      <c r="B96" s="224"/>
      <c r="C96" s="224"/>
      <c r="D96" s="225"/>
      <c r="E96" s="225"/>
      <c r="F96" s="225"/>
      <c r="G96" s="226"/>
      <c r="H96" s="227"/>
      <c r="I96" s="227"/>
      <c r="J96" s="227"/>
      <c r="K96" s="300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</row>
    <row r="97" spans="1:24">
      <c r="A97" s="60"/>
      <c r="B97" s="934" t="s">
        <v>230</v>
      </c>
      <c r="C97" s="863" t="s">
        <v>231</v>
      </c>
      <c r="D97" s="863"/>
      <c r="E97" s="863"/>
      <c r="F97" s="863"/>
      <c r="G97" s="259">
        <v>99</v>
      </c>
      <c r="H97" s="62">
        <f>+Rentas!N50</f>
        <v>0</v>
      </c>
      <c r="I97" s="164"/>
      <c r="J97" s="63">
        <f>ROUND(+H97,-3)</f>
        <v>0</v>
      </c>
      <c r="K97" s="300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</row>
    <row r="98" spans="1:24">
      <c r="A98" s="60"/>
      <c r="B98" s="934"/>
      <c r="C98" s="863" t="s">
        <v>146</v>
      </c>
      <c r="D98" s="863"/>
      <c r="E98" s="863"/>
      <c r="F98" s="863"/>
      <c r="G98" s="259">
        <v>100</v>
      </c>
      <c r="H98" s="62">
        <f>+Rentas!N71</f>
        <v>0</v>
      </c>
      <c r="I98" s="161"/>
      <c r="J98" s="63">
        <f>ROUND(+H98,-3)</f>
        <v>0</v>
      </c>
      <c r="K98" s="300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</row>
    <row r="99" spans="1:24">
      <c r="A99" s="60"/>
      <c r="B99" s="934"/>
      <c r="C99" s="901" t="s">
        <v>228</v>
      </c>
      <c r="D99" s="901"/>
      <c r="E99" s="901"/>
      <c r="F99" s="901"/>
      <c r="G99" s="119">
        <v>101</v>
      </c>
      <c r="H99" s="260">
        <f>+H97-H98</f>
        <v>0</v>
      </c>
      <c r="I99" s="161"/>
      <c r="J99" s="165">
        <f>+J97-J98</f>
        <v>0</v>
      </c>
      <c r="K99" s="300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</row>
    <row r="100" spans="1:24">
      <c r="A100" s="60"/>
      <c r="B100" s="934"/>
      <c r="C100" s="863" t="s">
        <v>232</v>
      </c>
      <c r="D100" s="863"/>
      <c r="E100" s="863"/>
      <c r="F100" s="863"/>
      <c r="G100" s="259">
        <v>102</v>
      </c>
      <c r="H100" s="62">
        <f>+Rentas!N131</f>
        <v>0</v>
      </c>
      <c r="I100" s="161"/>
      <c r="J100" s="63">
        <f>ROUND(+H100,-3)</f>
        <v>0</v>
      </c>
      <c r="K100" s="300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</row>
    <row r="101" spans="1:24">
      <c r="A101" s="60"/>
      <c r="B101" s="934"/>
      <c r="C101" s="901" t="s">
        <v>835</v>
      </c>
      <c r="D101" s="901"/>
      <c r="E101" s="901"/>
      <c r="F101" s="901"/>
      <c r="G101" s="119">
        <v>103</v>
      </c>
      <c r="H101" s="260">
        <f>+H99-H100</f>
        <v>0</v>
      </c>
      <c r="I101" s="161"/>
      <c r="J101" s="165">
        <f>+J99-J100</f>
        <v>0</v>
      </c>
      <c r="K101" s="300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27"/>
      <c r="X101" s="217"/>
    </row>
    <row r="102" spans="1:24" ht="21" customHeight="1">
      <c r="A102" s="60"/>
      <c r="B102" s="223"/>
      <c r="C102" s="223"/>
      <c r="D102" s="223"/>
      <c r="E102" s="223"/>
      <c r="F102" s="223"/>
      <c r="G102" s="228"/>
      <c r="H102" s="223"/>
      <c r="I102" s="223"/>
      <c r="J102" s="223"/>
      <c r="K102" s="300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</row>
    <row r="103" spans="1:24">
      <c r="A103" s="60"/>
      <c r="B103" s="929" t="s">
        <v>1071</v>
      </c>
      <c r="C103" s="930" t="s">
        <v>836</v>
      </c>
      <c r="D103" s="931"/>
      <c r="E103" s="931"/>
      <c r="F103" s="932"/>
      <c r="G103" s="259">
        <v>104</v>
      </c>
      <c r="H103" s="62">
        <f>+Rentas!P50</f>
        <v>0</v>
      </c>
      <c r="I103" s="161"/>
      <c r="J103" s="63">
        <f>ROUND(+H103,-3)</f>
        <v>0</v>
      </c>
      <c r="K103" s="300"/>
      <c r="L103" s="217"/>
      <c r="M103" s="330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</row>
    <row r="104" spans="1:24" ht="13.5" customHeight="1">
      <c r="A104" s="60"/>
      <c r="B104" s="929"/>
      <c r="C104" s="892" t="s">
        <v>146</v>
      </c>
      <c r="D104" s="893"/>
      <c r="E104" s="893"/>
      <c r="F104" s="894"/>
      <c r="G104" s="259">
        <v>105</v>
      </c>
      <c r="H104" s="62">
        <f>+Rentas!P71</f>
        <v>0</v>
      </c>
      <c r="I104" s="161"/>
      <c r="J104" s="63">
        <f t="shared" ref="J104:J109" si="4">ROUND(+H104,-3)</f>
        <v>0</v>
      </c>
      <c r="K104" s="300"/>
      <c r="L104" s="217"/>
      <c r="M104" s="330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</row>
    <row r="105" spans="1:24" ht="12.75" customHeight="1">
      <c r="A105" s="60"/>
      <c r="B105" s="929"/>
      <c r="C105" s="921" t="s">
        <v>259</v>
      </c>
      <c r="D105" s="922"/>
      <c r="E105" s="922"/>
      <c r="F105" s="923"/>
      <c r="G105" s="119">
        <v>106</v>
      </c>
      <c r="H105" s="260">
        <f>+H103-H104</f>
        <v>0</v>
      </c>
      <c r="I105" s="161"/>
      <c r="J105" s="165">
        <f t="shared" si="4"/>
        <v>0</v>
      </c>
      <c r="K105" s="300"/>
      <c r="L105" s="217"/>
      <c r="M105" s="330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</row>
    <row r="106" spans="1:24" ht="13.5" customHeight="1">
      <c r="A106" s="60"/>
      <c r="B106" s="929"/>
      <c r="C106" s="892" t="s">
        <v>260</v>
      </c>
      <c r="D106" s="893"/>
      <c r="E106" s="893"/>
      <c r="F106" s="894"/>
      <c r="G106" s="259">
        <v>107</v>
      </c>
      <c r="H106" s="62">
        <f>+Rentas!P96</f>
        <v>0</v>
      </c>
      <c r="I106" s="161"/>
      <c r="J106" s="63">
        <f t="shared" si="4"/>
        <v>0</v>
      </c>
      <c r="K106" s="300"/>
      <c r="L106" s="217"/>
      <c r="M106" s="330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</row>
    <row r="107" spans="1:24" ht="12.75" customHeight="1">
      <c r="A107" s="60"/>
      <c r="B107" s="929"/>
      <c r="C107" s="892" t="s">
        <v>261</v>
      </c>
      <c r="D107" s="893"/>
      <c r="E107" s="893"/>
      <c r="F107" s="894"/>
      <c r="G107" s="259">
        <v>108</v>
      </c>
      <c r="H107" s="62">
        <f>+Rentas!P104</f>
        <v>0</v>
      </c>
      <c r="I107" s="161"/>
      <c r="J107" s="63">
        <f t="shared" si="4"/>
        <v>0</v>
      </c>
      <c r="K107" s="300"/>
      <c r="L107" s="217"/>
      <c r="M107" s="330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</row>
    <row r="108" spans="1:24">
      <c r="A108" s="60"/>
      <c r="B108" s="929"/>
      <c r="C108" s="930" t="s">
        <v>1060</v>
      </c>
      <c r="D108" s="931"/>
      <c r="E108" s="931"/>
      <c r="F108" s="932"/>
      <c r="G108" s="259">
        <v>109</v>
      </c>
      <c r="H108" s="62">
        <f>+Rentas!P114</f>
        <v>0</v>
      </c>
      <c r="I108" s="161"/>
      <c r="J108" s="63">
        <f t="shared" si="4"/>
        <v>0</v>
      </c>
      <c r="K108" s="300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</row>
    <row r="109" spans="1:24">
      <c r="A109" s="60"/>
      <c r="B109" s="929"/>
      <c r="C109" s="930" t="s">
        <v>936</v>
      </c>
      <c r="D109" s="931"/>
      <c r="E109" s="931"/>
      <c r="F109" s="932"/>
      <c r="G109" s="259">
        <v>110</v>
      </c>
      <c r="H109" s="62">
        <f>+Rentas!P131</f>
        <v>0</v>
      </c>
      <c r="I109" s="161"/>
      <c r="J109" s="63">
        <f t="shared" si="4"/>
        <v>0</v>
      </c>
      <c r="K109" s="300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</row>
    <row r="110" spans="1:24" ht="28.5" customHeight="1">
      <c r="A110" s="60"/>
      <c r="B110" s="933" t="s">
        <v>1061</v>
      </c>
      <c r="C110" s="933"/>
      <c r="D110" s="933"/>
      <c r="E110" s="933"/>
      <c r="F110" s="933"/>
      <c r="G110" s="119">
        <v>111</v>
      </c>
      <c r="H110" s="60"/>
      <c r="I110" s="161"/>
      <c r="J110" s="544">
        <f>IF(J93&gt;J95,+J93+J101+J106+J107-J120,+J95+J101+J106+J107-J120)</f>
        <v>0</v>
      </c>
      <c r="K110" s="300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</row>
    <row r="111" spans="1:24">
      <c r="A111" s="60"/>
      <c r="B111" s="946" t="s">
        <v>838</v>
      </c>
      <c r="C111" s="863" t="s">
        <v>275</v>
      </c>
      <c r="D111" s="863"/>
      <c r="E111" s="863"/>
      <c r="F111" s="863"/>
      <c r="G111" s="259">
        <v>112</v>
      </c>
      <c r="H111" s="62">
        <f>+'Rtas Especiales'!J27+'Rtas Especiales'!L27</f>
        <v>0</v>
      </c>
      <c r="I111" s="161"/>
      <c r="J111" s="63">
        <f t="shared" ref="J111:J114" si="5">ROUND(+H111,-3)</f>
        <v>0</v>
      </c>
      <c r="K111" s="301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</row>
    <row r="112" spans="1:24">
      <c r="A112" s="60"/>
      <c r="B112" s="947"/>
      <c r="C112" s="863" t="s">
        <v>105</v>
      </c>
      <c r="D112" s="863"/>
      <c r="E112" s="863"/>
      <c r="F112" s="863"/>
      <c r="G112" s="259">
        <v>113</v>
      </c>
      <c r="H112" s="62">
        <f>+'Rtas Especiales'!R27</f>
        <v>0</v>
      </c>
      <c r="I112" s="161"/>
      <c r="J112" s="63">
        <f t="shared" si="5"/>
        <v>0</v>
      </c>
      <c r="K112" s="301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</row>
    <row r="113" spans="1:24">
      <c r="A113" s="60"/>
      <c r="B113" s="947"/>
      <c r="C113" s="863" t="s">
        <v>24</v>
      </c>
      <c r="D113" s="863"/>
      <c r="E113" s="863"/>
      <c r="F113" s="863"/>
      <c r="G113" s="259">
        <v>114</v>
      </c>
      <c r="H113" s="62">
        <f>+'Rtas Especiales'!T27</f>
        <v>0</v>
      </c>
      <c r="I113" s="161"/>
      <c r="J113" s="63">
        <f t="shared" si="5"/>
        <v>0</v>
      </c>
      <c r="K113" s="301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</row>
    <row r="114" spans="1:24">
      <c r="A114" s="60"/>
      <c r="B114" s="948"/>
      <c r="C114" s="902" t="s">
        <v>176</v>
      </c>
      <c r="D114" s="902"/>
      <c r="E114" s="902"/>
      <c r="F114" s="902"/>
      <c r="G114" s="119">
        <v>115</v>
      </c>
      <c r="H114" s="116">
        <f>+H111-H112-H113</f>
        <v>0</v>
      </c>
      <c r="I114" s="163"/>
      <c r="J114" s="165">
        <f t="shared" si="5"/>
        <v>0</v>
      </c>
      <c r="K114" s="301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</row>
    <row r="115" spans="1:24">
      <c r="A115" s="60"/>
      <c r="B115" s="223"/>
      <c r="C115" s="223"/>
      <c r="D115" s="223"/>
      <c r="E115" s="223"/>
      <c r="F115" s="223"/>
      <c r="G115" s="228"/>
      <c r="H115" s="223"/>
      <c r="I115" s="223"/>
      <c r="J115" s="223"/>
      <c r="K115" s="301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</row>
    <row r="116" spans="1:24">
      <c r="A116" s="60"/>
      <c r="B116" s="223"/>
      <c r="C116" s="223"/>
      <c r="D116" s="223"/>
      <c r="E116" s="223"/>
      <c r="F116" s="223"/>
      <c r="G116" s="228"/>
      <c r="H116" s="223"/>
      <c r="I116" s="223"/>
      <c r="J116" s="223"/>
      <c r="K116" s="301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</row>
    <row r="117" spans="1:24" ht="34.5" customHeight="1">
      <c r="A117" s="364"/>
      <c r="B117" s="941" t="s">
        <v>937</v>
      </c>
      <c r="C117" s="941"/>
      <c r="D117" s="941"/>
      <c r="E117" s="941"/>
      <c r="F117" s="941"/>
      <c r="G117" s="941"/>
      <c r="H117" s="941"/>
      <c r="I117" s="941"/>
      <c r="J117" s="941"/>
      <c r="K117" s="365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</row>
    <row r="118" spans="1:24">
      <c r="A118" s="364"/>
      <c r="B118" s="942" t="s">
        <v>1070</v>
      </c>
      <c r="C118" s="863" t="s">
        <v>1066</v>
      </c>
      <c r="D118" s="863"/>
      <c r="E118" s="863"/>
      <c r="F118" s="863"/>
      <c r="G118" s="259">
        <v>116</v>
      </c>
      <c r="H118" s="364"/>
      <c r="I118" s="364"/>
      <c r="J118" s="63">
        <f>IF(J93&gt;J95,T32,0)</f>
        <v>0</v>
      </c>
      <c r="K118" s="365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</row>
    <row r="119" spans="1:24">
      <c r="A119" s="364"/>
      <c r="B119" s="942"/>
      <c r="C119" s="863" t="s">
        <v>1067</v>
      </c>
      <c r="D119" s="863"/>
      <c r="E119" s="863"/>
      <c r="F119" s="863"/>
      <c r="G119" s="259">
        <v>117</v>
      </c>
      <c r="H119" s="364"/>
      <c r="I119" s="364"/>
      <c r="J119" s="63">
        <f>IF(J93&lt;J95,T32,0)</f>
        <v>0</v>
      </c>
      <c r="K119" s="365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</row>
    <row r="120" spans="1:24" ht="12.75" customHeight="1">
      <c r="A120" s="364"/>
      <c r="B120" s="942"/>
      <c r="C120" s="944" t="s">
        <v>839</v>
      </c>
      <c r="D120" s="944"/>
      <c r="E120" s="944"/>
      <c r="F120" s="944"/>
      <c r="G120" s="259">
        <v>118</v>
      </c>
      <c r="H120" s="364"/>
      <c r="I120" s="364"/>
      <c r="J120" s="63">
        <f>ROUND(J107*35%,-3)</f>
        <v>0</v>
      </c>
      <c r="K120" s="365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</row>
    <row r="121" spans="1:24">
      <c r="A121" s="364"/>
      <c r="B121" s="942"/>
      <c r="C121" s="945" t="s">
        <v>1068</v>
      </c>
      <c r="D121" s="945"/>
      <c r="E121" s="945"/>
      <c r="F121" s="945"/>
      <c r="G121" s="259">
        <v>119</v>
      </c>
      <c r="H121" s="364"/>
      <c r="I121" s="364"/>
      <c r="J121" s="63">
        <f>+T73</f>
        <v>0</v>
      </c>
      <c r="K121" s="365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</row>
    <row r="122" spans="1:24">
      <c r="A122" s="364"/>
      <c r="B122" s="942"/>
      <c r="C122" s="945" t="s">
        <v>1069</v>
      </c>
      <c r="D122" s="945"/>
      <c r="E122" s="945"/>
      <c r="F122" s="945"/>
      <c r="G122" s="259">
        <v>120</v>
      </c>
      <c r="H122" s="364"/>
      <c r="I122" s="364"/>
      <c r="J122" s="170">
        <f>ROUND((+J108-J109)*35%,-3)</f>
        <v>0</v>
      </c>
      <c r="K122" s="365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</row>
    <row r="123" spans="1:24">
      <c r="A123" s="364"/>
      <c r="B123" s="943"/>
      <c r="C123" s="902" t="s">
        <v>840</v>
      </c>
      <c r="D123" s="902"/>
      <c r="E123" s="902"/>
      <c r="F123" s="902"/>
      <c r="G123" s="119">
        <v>121</v>
      </c>
      <c r="H123" s="364"/>
      <c r="I123" s="364"/>
      <c r="J123" s="116">
        <f>+J118+J119+J120+J121+J122</f>
        <v>0</v>
      </c>
      <c r="K123" s="365"/>
      <c r="L123" s="217"/>
      <c r="M123" s="217"/>
      <c r="N123" s="1030" t="s">
        <v>1078</v>
      </c>
      <c r="O123" s="217"/>
      <c r="P123" s="1043" t="s">
        <v>895</v>
      </c>
      <c r="Q123" s="1043"/>
      <c r="R123" s="1043"/>
      <c r="S123" s="1043"/>
      <c r="T123" s="1043"/>
      <c r="U123" s="1043"/>
      <c r="V123" s="1043"/>
      <c r="W123" s="217"/>
      <c r="X123" s="217"/>
    </row>
    <row r="124" spans="1:24" ht="20.25" customHeight="1">
      <c r="A124" s="364"/>
      <c r="B124" s="367"/>
      <c r="C124" s="367"/>
      <c r="D124" s="367"/>
      <c r="E124" s="367"/>
      <c r="F124" s="367"/>
      <c r="G124" s="368"/>
      <c r="H124" s="367"/>
      <c r="I124" s="367"/>
      <c r="J124" s="367"/>
      <c r="K124" s="365"/>
      <c r="L124" s="217"/>
      <c r="M124" s="217"/>
      <c r="N124" s="1031"/>
      <c r="O124" s="217"/>
      <c r="P124" s="1001"/>
      <c r="Q124" s="1001"/>
      <c r="R124" s="1001"/>
      <c r="S124" s="1001"/>
      <c r="T124" s="1001"/>
      <c r="U124" s="1001"/>
      <c r="V124" s="1001"/>
      <c r="W124" s="217"/>
      <c r="X124" s="217"/>
    </row>
    <row r="125" spans="1:24">
      <c r="A125" s="364"/>
      <c r="B125" s="935" t="s">
        <v>177</v>
      </c>
      <c r="C125" s="863" t="s">
        <v>267</v>
      </c>
      <c r="D125" s="863"/>
      <c r="E125" s="863"/>
      <c r="F125" s="863"/>
      <c r="G125" s="259">
        <v>122</v>
      </c>
      <c r="H125" s="192"/>
      <c r="I125" s="364"/>
      <c r="J125" s="63">
        <f>ROUND(+H125,-3)</f>
        <v>0</v>
      </c>
      <c r="K125" s="366"/>
      <c r="L125" s="217"/>
      <c r="M125" s="217"/>
      <c r="N125" s="1032"/>
      <c r="O125" s="217"/>
      <c r="P125" s="1001"/>
      <c r="Q125" s="1001"/>
      <c r="R125" s="1001"/>
      <c r="S125" s="1001"/>
      <c r="T125" s="1001"/>
      <c r="U125" s="1001"/>
      <c r="V125" s="1001"/>
      <c r="W125" s="217"/>
      <c r="X125" s="217"/>
    </row>
    <row r="126" spans="1:24">
      <c r="A126" s="364"/>
      <c r="B126" s="936"/>
      <c r="C126" s="863" t="s">
        <v>174</v>
      </c>
      <c r="D126" s="863"/>
      <c r="E126" s="863"/>
      <c r="F126" s="863"/>
      <c r="G126" s="259">
        <v>123</v>
      </c>
      <c r="H126" s="192"/>
      <c r="I126" s="364"/>
      <c r="J126" s="63">
        <f>ROUND(+H126,-3)</f>
        <v>0</v>
      </c>
      <c r="K126" s="366"/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</row>
    <row r="127" spans="1:24" ht="13.5">
      <c r="A127" s="364"/>
      <c r="B127" s="936"/>
      <c r="C127" s="863" t="s">
        <v>1072</v>
      </c>
      <c r="D127" s="863"/>
      <c r="E127" s="863"/>
      <c r="F127" s="863"/>
      <c r="G127" s="259">
        <v>124</v>
      </c>
      <c r="H127" s="192"/>
      <c r="I127" s="367"/>
      <c r="J127" s="63">
        <f>ROUND(+H127,-3)</f>
        <v>0</v>
      </c>
      <c r="K127" s="366"/>
      <c r="L127" s="217"/>
      <c r="M127" s="217"/>
      <c r="N127" s="217"/>
      <c r="O127" s="217"/>
      <c r="P127" s="938" t="s">
        <v>896</v>
      </c>
      <c r="Q127" s="939"/>
      <c r="R127" s="940"/>
      <c r="S127" s="217"/>
      <c r="T127" s="336" t="s">
        <v>897</v>
      </c>
      <c r="U127" s="217"/>
      <c r="V127" s="336" t="s">
        <v>905</v>
      </c>
      <c r="W127" s="217"/>
      <c r="X127" s="217"/>
    </row>
    <row r="128" spans="1:24">
      <c r="A128" s="364"/>
      <c r="B128" s="937"/>
      <c r="C128" s="901" t="s">
        <v>178</v>
      </c>
      <c r="D128" s="901"/>
      <c r="E128" s="901"/>
      <c r="F128" s="901"/>
      <c r="G128" s="119">
        <v>125</v>
      </c>
      <c r="H128" s="364"/>
      <c r="I128" s="364"/>
      <c r="J128" s="165">
        <f>+J125+J126+J127</f>
        <v>0</v>
      </c>
      <c r="K128" s="366"/>
      <c r="L128" s="217"/>
      <c r="M128" s="217"/>
      <c r="N128" s="217"/>
      <c r="O128" s="217"/>
      <c r="P128" s="337" t="s">
        <v>904</v>
      </c>
      <c r="Q128" s="334"/>
      <c r="R128" s="335"/>
      <c r="S128" s="217"/>
      <c r="T128" s="338">
        <v>1</v>
      </c>
      <c r="U128" s="217"/>
      <c r="V128" s="339">
        <f>350*Datos!J10</f>
        <v>17429650</v>
      </c>
      <c r="W128" s="217"/>
      <c r="X128" s="217"/>
    </row>
    <row r="129" spans="1:24" ht="21" customHeight="1">
      <c r="A129" s="364"/>
      <c r="B129" s="367"/>
      <c r="C129" s="367"/>
      <c r="D129" s="367"/>
      <c r="E129" s="367"/>
      <c r="F129" s="367"/>
      <c r="G129" s="368"/>
      <c r="H129" s="367"/>
      <c r="I129" s="367"/>
      <c r="J129" s="367"/>
      <c r="K129" s="366"/>
      <c r="L129" s="217"/>
      <c r="M129" s="217"/>
      <c r="N129" s="217"/>
      <c r="O129" s="217"/>
      <c r="P129" s="337" t="s">
        <v>899</v>
      </c>
      <c r="Q129" s="334"/>
      <c r="R129" s="335"/>
      <c r="S129" s="217"/>
      <c r="T129" s="338">
        <v>0.9</v>
      </c>
      <c r="U129" s="217"/>
      <c r="V129" s="339">
        <f>410*Datos!J10</f>
        <v>20417590</v>
      </c>
      <c r="W129" s="217"/>
      <c r="X129" s="217"/>
    </row>
    <row r="130" spans="1:24">
      <c r="A130" s="364"/>
      <c r="B130" s="949" t="s">
        <v>179</v>
      </c>
      <c r="C130" s="921" t="s">
        <v>9</v>
      </c>
      <c r="D130" s="922"/>
      <c r="E130" s="922"/>
      <c r="F130" s="923"/>
      <c r="G130" s="119">
        <v>126</v>
      </c>
      <c r="H130" s="364"/>
      <c r="I130" s="364"/>
      <c r="J130" s="165">
        <f>+J123-J128</f>
        <v>0</v>
      </c>
      <c r="K130" s="366"/>
      <c r="L130" s="217"/>
      <c r="M130" s="217"/>
      <c r="N130" s="217"/>
      <c r="O130" s="217"/>
      <c r="P130" s="337" t="s">
        <v>898</v>
      </c>
      <c r="Q130" s="334"/>
      <c r="R130" s="335"/>
      <c r="S130" s="217"/>
      <c r="T130" s="338">
        <v>0.8</v>
      </c>
      <c r="U130" s="217"/>
      <c r="V130" s="339">
        <f>470*Datos!J10</f>
        <v>23405530</v>
      </c>
      <c r="W130" s="217"/>
      <c r="X130" s="217"/>
    </row>
    <row r="131" spans="1:24">
      <c r="A131" s="364"/>
      <c r="B131" s="950"/>
      <c r="C131" s="951"/>
      <c r="D131" s="952"/>
      <c r="E131" s="952"/>
      <c r="F131" s="952"/>
      <c r="G131" s="952"/>
      <c r="H131" s="952"/>
      <c r="I131" s="952"/>
      <c r="J131" s="953"/>
      <c r="K131" s="366"/>
      <c r="L131" s="217"/>
      <c r="M131" s="217"/>
      <c r="N131" s="217"/>
      <c r="O131" s="217"/>
      <c r="P131" s="337"/>
      <c r="Q131" s="334"/>
      <c r="R131" s="335"/>
      <c r="S131" s="217"/>
      <c r="T131" s="338"/>
      <c r="U131" s="217"/>
      <c r="V131" s="339"/>
      <c r="W131" s="217"/>
      <c r="X131" s="217"/>
    </row>
    <row r="132" spans="1:24" ht="16.5">
      <c r="A132" s="364"/>
      <c r="B132" s="950"/>
      <c r="C132" s="148" t="s">
        <v>10</v>
      </c>
      <c r="D132" s="151"/>
      <c r="E132" s="151"/>
      <c r="F132" s="518" t="s">
        <v>1079</v>
      </c>
      <c r="G132" s="119">
        <v>127</v>
      </c>
      <c r="H132" s="116">
        <f>+H133+H134</f>
        <v>0</v>
      </c>
      <c r="I132" s="367"/>
      <c r="J132" s="116">
        <f>ROUND(+H132,-3)</f>
        <v>0</v>
      </c>
      <c r="K132" s="366"/>
      <c r="L132" s="261"/>
      <c r="M132" s="217"/>
      <c r="N132" s="217"/>
      <c r="O132" s="217"/>
      <c r="P132" s="337" t="s">
        <v>900</v>
      </c>
      <c r="Q132" s="334"/>
      <c r="R132" s="335"/>
      <c r="S132" s="217"/>
      <c r="T132" s="338">
        <v>0.6</v>
      </c>
      <c r="U132" s="217"/>
      <c r="V132" s="339">
        <f>530*Datos!J10</f>
        <v>26393470</v>
      </c>
      <c r="W132" s="217"/>
      <c r="X132" s="217"/>
    </row>
    <row r="133" spans="1:24" ht="16.5">
      <c r="A133" s="364"/>
      <c r="B133" s="950"/>
      <c r="C133" s="954">
        <v>116</v>
      </c>
      <c r="D133" s="956" t="s">
        <v>841</v>
      </c>
      <c r="E133" s="957"/>
      <c r="F133" s="331"/>
      <c r="G133" s="175">
        <v>0.2</v>
      </c>
      <c r="H133" s="174">
        <f>+F133*G133</f>
        <v>0</v>
      </c>
      <c r="I133" s="958" t="str">
        <f>IF(J114=F133+F134,"  ","La distribución no coincide con lo reportado en renglón 115")</f>
        <v xml:space="preserve">  </v>
      </c>
      <c r="J133" s="959"/>
      <c r="K133" s="959"/>
      <c r="L133" s="261"/>
      <c r="M133" s="217"/>
      <c r="N133" s="217"/>
      <c r="O133" s="217"/>
      <c r="P133" s="337" t="s">
        <v>901</v>
      </c>
      <c r="Q133" s="334"/>
      <c r="R133" s="335"/>
      <c r="S133" s="217"/>
      <c r="T133" s="338">
        <v>0.4</v>
      </c>
      <c r="U133" s="217"/>
      <c r="V133" s="339">
        <f>590*Datos!J10</f>
        <v>29381410</v>
      </c>
      <c r="W133" s="217"/>
      <c r="X133" s="217"/>
    </row>
    <row r="134" spans="1:24" ht="16.5">
      <c r="A134" s="364"/>
      <c r="B134" s="950"/>
      <c r="C134" s="955"/>
      <c r="D134" s="960" t="s">
        <v>852</v>
      </c>
      <c r="E134" s="961"/>
      <c r="F134" s="331"/>
      <c r="G134" s="175">
        <v>0.15</v>
      </c>
      <c r="H134" s="174">
        <f>+F134*G134</f>
        <v>0</v>
      </c>
      <c r="I134" s="958"/>
      <c r="J134" s="959"/>
      <c r="K134" s="959"/>
      <c r="L134" s="261"/>
      <c r="M134" s="217"/>
      <c r="N134" s="217"/>
      <c r="O134" s="217"/>
      <c r="P134" s="337" t="s">
        <v>902</v>
      </c>
      <c r="Q134" s="334"/>
      <c r="R134" s="335"/>
      <c r="S134" s="217"/>
      <c r="T134" s="338">
        <v>0.2</v>
      </c>
      <c r="U134" s="217"/>
      <c r="V134" s="339">
        <f>650*Datos!J10</f>
        <v>32369350</v>
      </c>
      <c r="W134" s="217"/>
      <c r="X134" s="217"/>
    </row>
    <row r="135" spans="1:24" ht="16.5">
      <c r="A135" s="364"/>
      <c r="B135" s="950"/>
      <c r="C135" s="962"/>
      <c r="D135" s="963"/>
      <c r="E135" s="963"/>
      <c r="F135" s="963"/>
      <c r="G135" s="963"/>
      <c r="H135" s="963"/>
      <c r="I135" s="963"/>
      <c r="J135" s="963"/>
      <c r="K135" s="470"/>
      <c r="L135" s="261"/>
      <c r="M135" s="217"/>
      <c r="N135" s="217"/>
      <c r="O135" s="217"/>
      <c r="P135" s="337"/>
      <c r="Q135" s="334"/>
      <c r="R135" s="335"/>
      <c r="S135" s="217"/>
      <c r="T135" s="338"/>
      <c r="U135" s="217"/>
      <c r="V135" s="339"/>
      <c r="W135" s="217"/>
      <c r="X135" s="217"/>
    </row>
    <row r="136" spans="1:24" ht="16.5">
      <c r="A136" s="364"/>
      <c r="B136" s="950"/>
      <c r="C136" s="373" t="s">
        <v>940</v>
      </c>
      <c r="D136" s="466"/>
      <c r="E136" s="466"/>
      <c r="F136" s="466"/>
      <c r="G136" s="259">
        <v>128</v>
      </c>
      <c r="H136" s="192"/>
      <c r="I136" s="372"/>
      <c r="J136" s="116">
        <f>ROUND(+H136,-3)</f>
        <v>0</v>
      </c>
      <c r="K136" s="366"/>
      <c r="L136" s="261"/>
      <c r="M136" s="217"/>
      <c r="N136" s="217"/>
      <c r="O136" s="217"/>
      <c r="P136" s="337" t="s">
        <v>903</v>
      </c>
      <c r="Q136" s="334"/>
      <c r="R136" s="335"/>
      <c r="S136" s="217"/>
      <c r="T136" s="338">
        <v>0</v>
      </c>
      <c r="U136" s="217"/>
      <c r="V136" s="339" t="s">
        <v>1011</v>
      </c>
      <c r="W136" s="217"/>
      <c r="X136" s="217"/>
    </row>
    <row r="137" spans="1:24" ht="16.5">
      <c r="A137" s="364"/>
      <c r="B137" s="950"/>
      <c r="C137" s="706" t="s">
        <v>11</v>
      </c>
      <c r="D137" s="707"/>
      <c r="E137" s="707"/>
      <c r="F137" s="708"/>
      <c r="G137" s="119">
        <v>129</v>
      </c>
      <c r="H137" s="60"/>
      <c r="I137" s="364"/>
      <c r="J137" s="116">
        <f>+J130+J132-J136</f>
        <v>0</v>
      </c>
      <c r="K137" s="366"/>
      <c r="L137" s="261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</row>
    <row r="138" spans="1:24" ht="16.5">
      <c r="A138" s="364"/>
      <c r="B138" s="950"/>
      <c r="C138" s="892" t="s">
        <v>268</v>
      </c>
      <c r="D138" s="893"/>
      <c r="E138" s="893"/>
      <c r="F138" s="894"/>
      <c r="G138" s="259">
        <v>130</v>
      </c>
      <c r="H138" s="192"/>
      <c r="I138" s="364"/>
      <c r="J138" s="116">
        <f>ROUND(+H138,-3)</f>
        <v>0</v>
      </c>
      <c r="K138" s="366"/>
      <c r="L138" s="261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</row>
    <row r="139" spans="1:24" ht="26.25" customHeight="1">
      <c r="A139" s="364"/>
      <c r="B139" s="950"/>
      <c r="C139" s="1034" t="s">
        <v>269</v>
      </c>
      <c r="D139" s="1035"/>
      <c r="E139" s="1035"/>
      <c r="F139" s="1036"/>
      <c r="G139" s="259">
        <v>131</v>
      </c>
      <c r="H139" s="192"/>
      <c r="I139" s="177"/>
      <c r="J139" s="116">
        <f>ROUND(+H139,-3)</f>
        <v>0</v>
      </c>
      <c r="K139" s="366"/>
      <c r="L139" s="261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</row>
    <row r="140" spans="1:24" ht="16.5">
      <c r="A140" s="364"/>
      <c r="B140" s="950"/>
      <c r="C140" s="921" t="s">
        <v>270</v>
      </c>
      <c r="D140" s="922"/>
      <c r="E140" s="922"/>
      <c r="F140" s="923"/>
      <c r="G140" s="119">
        <v>132</v>
      </c>
      <c r="H140" s="269"/>
      <c r="I140" s="177"/>
      <c r="J140" s="116">
        <f>ROUND(+H140,-3)</f>
        <v>0</v>
      </c>
      <c r="K140" s="366"/>
      <c r="L140" s="261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</row>
    <row r="141" spans="1:24" ht="16.5">
      <c r="A141" s="364"/>
      <c r="B141" s="950"/>
      <c r="C141" s="1037"/>
      <c r="D141" s="1038"/>
      <c r="E141" s="1038"/>
      <c r="F141" s="1038"/>
      <c r="G141" s="1038"/>
      <c r="H141" s="1038"/>
      <c r="I141" s="1038"/>
      <c r="J141" s="1039"/>
      <c r="K141" s="366"/>
      <c r="L141" s="261"/>
      <c r="M141" s="217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</row>
    <row r="142" spans="1:24" ht="16.5">
      <c r="A142" s="364"/>
      <c r="B142" s="950"/>
      <c r="C142" s="1040" t="s">
        <v>271</v>
      </c>
      <c r="D142" s="1041"/>
      <c r="E142" s="1041"/>
      <c r="F142" s="1042"/>
      <c r="G142" s="259">
        <v>133</v>
      </c>
      <c r="H142" s="116">
        <f>IF((F146*F148-F147)&gt;0,+F146*F148-F147,0)</f>
        <v>0</v>
      </c>
      <c r="I142" s="177"/>
      <c r="J142" s="116">
        <f>ROUND(+H142,-3)</f>
        <v>0</v>
      </c>
      <c r="K142" s="366"/>
      <c r="L142" s="261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</row>
    <row r="143" spans="1:24">
      <c r="A143" s="364"/>
      <c r="B143" s="950"/>
      <c r="C143" s="970" t="s">
        <v>1080</v>
      </c>
      <c r="D143" s="971"/>
      <c r="E143" s="972"/>
      <c r="F143" s="189">
        <v>0</v>
      </c>
      <c r="G143" s="120"/>
      <c r="H143" s="120"/>
      <c r="I143" s="120"/>
      <c r="J143" s="120"/>
      <c r="K143" s="366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</row>
    <row r="144" spans="1:24" ht="16.5">
      <c r="A144" s="364"/>
      <c r="B144" s="950"/>
      <c r="C144" s="970" t="s">
        <v>1081</v>
      </c>
      <c r="D144" s="971"/>
      <c r="E144" s="972"/>
      <c r="F144" s="176">
        <f>+J130</f>
        <v>0</v>
      </c>
      <c r="G144" s="973" t="s">
        <v>187</v>
      </c>
      <c r="H144" s="974"/>
      <c r="I144" s="303"/>
      <c r="J144" s="190" t="s">
        <v>1015</v>
      </c>
      <c r="K144" s="366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</row>
    <row r="145" spans="1:24">
      <c r="A145" s="364"/>
      <c r="B145" s="950"/>
      <c r="C145" s="975" t="s">
        <v>140</v>
      </c>
      <c r="D145" s="976"/>
      <c r="E145" s="977"/>
      <c r="F145" s="177">
        <f>IF(J144="s",F143/2+F144/2,F144)</f>
        <v>0</v>
      </c>
      <c r="G145" s="120"/>
      <c r="H145" s="120"/>
      <c r="I145" s="120"/>
      <c r="J145" s="120"/>
      <c r="K145" s="366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</row>
    <row r="146" spans="1:24">
      <c r="A146" s="364"/>
      <c r="B146" s="950"/>
      <c r="C146" s="978" t="s">
        <v>107</v>
      </c>
      <c r="D146" s="979"/>
      <c r="E146" s="980"/>
      <c r="F146" s="177">
        <f>IF(F145&lt;F144,F145,F144)</f>
        <v>0</v>
      </c>
      <c r="G146" s="120"/>
      <c r="H146" s="120"/>
      <c r="I146" s="120"/>
      <c r="J146" s="120"/>
      <c r="K146" s="366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</row>
    <row r="147" spans="1:24">
      <c r="A147" s="364"/>
      <c r="B147" s="950"/>
      <c r="C147" s="467" t="s">
        <v>1012</v>
      </c>
      <c r="D147" s="468"/>
      <c r="E147" s="469"/>
      <c r="F147" s="189">
        <f>+H140</f>
        <v>0</v>
      </c>
      <c r="G147" s="120"/>
      <c r="H147" s="120"/>
      <c r="I147" s="120"/>
      <c r="J147" s="120"/>
      <c r="K147" s="366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</row>
    <row r="148" spans="1:24" ht="13.5">
      <c r="A148" s="364"/>
      <c r="B148" s="950"/>
      <c r="C148" s="981" t="s">
        <v>106</v>
      </c>
      <c r="D148" s="982"/>
      <c r="E148" s="983"/>
      <c r="F148" s="191">
        <v>0.75</v>
      </c>
      <c r="G148" s="120"/>
      <c r="H148" s="120"/>
      <c r="I148" s="120"/>
      <c r="J148" s="120"/>
      <c r="K148" s="366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</row>
    <row r="149" spans="1:24">
      <c r="A149" s="364"/>
      <c r="B149" s="950"/>
      <c r="C149" s="984"/>
      <c r="D149" s="985"/>
      <c r="E149" s="985"/>
      <c r="F149" s="985"/>
      <c r="G149" s="985"/>
      <c r="H149" s="985"/>
      <c r="I149" s="985"/>
      <c r="J149" s="985"/>
      <c r="K149" s="366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</row>
    <row r="150" spans="1:24">
      <c r="A150" s="364"/>
      <c r="B150" s="950"/>
      <c r="C150" s="706" t="s">
        <v>12</v>
      </c>
      <c r="D150" s="707"/>
      <c r="E150" s="707"/>
      <c r="F150" s="708"/>
      <c r="G150" s="119">
        <v>134</v>
      </c>
      <c r="H150" s="364"/>
      <c r="I150" s="364"/>
      <c r="J150" s="116">
        <f>IF((+J137+J142-J138-J139-J140)&gt;0,J137+J142-J138-J139-J140,0)</f>
        <v>0</v>
      </c>
      <c r="K150" s="366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</row>
    <row r="151" spans="1:24">
      <c r="A151" s="364"/>
      <c r="B151" s="950"/>
      <c r="C151" s="892" t="s">
        <v>13</v>
      </c>
      <c r="D151" s="893"/>
      <c r="E151" s="893"/>
      <c r="F151" s="894"/>
      <c r="G151" s="259">
        <v>135</v>
      </c>
      <c r="H151" s="192"/>
      <c r="I151" s="176"/>
      <c r="J151" s="116">
        <f>ROUND(+H151,-3)</f>
        <v>0</v>
      </c>
      <c r="K151" s="366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</row>
    <row r="152" spans="1:24">
      <c r="A152" s="364"/>
      <c r="B152" s="950"/>
      <c r="C152" s="706" t="s">
        <v>39</v>
      </c>
      <c r="D152" s="707"/>
      <c r="E152" s="707"/>
      <c r="F152" s="708"/>
      <c r="G152" s="119">
        <v>136</v>
      </c>
      <c r="H152" s="364"/>
      <c r="I152" s="364"/>
      <c r="J152" s="116">
        <f>IF((+J137-J138-J139-J140+J142+J151)&gt;0,+J137-J138-J139-J140+J142+J151,0)</f>
        <v>0</v>
      </c>
      <c r="K152" s="366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</row>
    <row r="153" spans="1:24" ht="12.75" customHeight="1">
      <c r="A153" s="364"/>
      <c r="B153" s="950"/>
      <c r="C153" s="706" t="s">
        <v>108</v>
      </c>
      <c r="D153" s="707"/>
      <c r="E153" s="707"/>
      <c r="F153" s="708"/>
      <c r="G153" s="119">
        <v>137</v>
      </c>
      <c r="H153" s="364"/>
      <c r="I153" s="364"/>
      <c r="J153" s="116">
        <f>IF((+J137-J138-J139-J140+J142+J151)&lt;0,-J137+J138+J139+J140-J142-J151,0)</f>
        <v>0</v>
      </c>
      <c r="K153" s="366"/>
      <c r="L153" s="217"/>
      <c r="M153" s="217"/>
      <c r="N153" s="519"/>
      <c r="O153" s="519"/>
      <c r="P153" s="519"/>
      <c r="Q153" s="217"/>
      <c r="R153" s="217"/>
      <c r="S153" s="217"/>
      <c r="T153" s="217"/>
      <c r="U153" s="217"/>
      <c r="V153" s="217"/>
      <c r="W153" s="217"/>
      <c r="X153" s="217"/>
    </row>
    <row r="154" spans="1:24" ht="21" customHeight="1">
      <c r="A154" s="364"/>
      <c r="B154" s="367"/>
      <c r="C154" s="367"/>
      <c r="D154" s="367"/>
      <c r="E154" s="367"/>
      <c r="F154" s="367"/>
      <c r="G154" s="367"/>
      <c r="H154" s="367"/>
      <c r="I154" s="367"/>
      <c r="J154" s="367"/>
      <c r="K154" s="366"/>
      <c r="L154" s="217"/>
      <c r="M154" s="217"/>
      <c r="N154" s="519"/>
      <c r="O154" s="519"/>
      <c r="P154" s="519"/>
      <c r="Q154" s="217"/>
      <c r="R154" s="217"/>
      <c r="S154" s="217"/>
      <c r="T154" s="217"/>
      <c r="U154" s="217"/>
      <c r="V154" s="217"/>
      <c r="W154" s="217"/>
      <c r="X154" s="217"/>
    </row>
    <row r="155" spans="1:24">
      <c r="A155" s="364"/>
      <c r="B155" s="367"/>
      <c r="C155" s="706" t="s">
        <v>1082</v>
      </c>
      <c r="D155" s="707"/>
      <c r="E155" s="707"/>
      <c r="F155" s="708"/>
      <c r="G155" s="119">
        <v>138</v>
      </c>
      <c r="H155" s="189"/>
      <c r="I155" s="367"/>
      <c r="J155" s="367"/>
      <c r="K155" s="366"/>
      <c r="L155" s="217"/>
      <c r="M155" s="217"/>
      <c r="N155" s="520"/>
      <c r="O155" s="520"/>
      <c r="P155" s="520"/>
      <c r="Q155" s="217"/>
      <c r="R155" s="217"/>
      <c r="S155" s="217"/>
      <c r="T155" s="217"/>
      <c r="U155" s="217"/>
      <c r="V155" s="217"/>
      <c r="W155" s="217"/>
      <c r="X155" s="217"/>
    </row>
    <row r="156" spans="1:24">
      <c r="A156" s="364"/>
      <c r="B156" s="367"/>
      <c r="C156" s="706" t="s">
        <v>1085</v>
      </c>
      <c r="D156" s="707"/>
      <c r="E156" s="707"/>
      <c r="F156" s="708"/>
      <c r="G156" s="118">
        <v>139</v>
      </c>
      <c r="H156" s="367"/>
      <c r="I156" s="367"/>
      <c r="J156" s="116">
        <f>ROUND(H155*72*Datos!J10,-3)</f>
        <v>0</v>
      </c>
      <c r="K156" s="366"/>
      <c r="L156" s="217"/>
      <c r="M156" s="217"/>
      <c r="N156" s="520"/>
      <c r="O156" s="520"/>
      <c r="P156" s="520"/>
      <c r="Q156" s="217"/>
      <c r="R156" s="217"/>
      <c r="S156" s="217"/>
      <c r="T156" s="217"/>
      <c r="U156" s="217"/>
      <c r="V156" s="217"/>
      <c r="W156" s="217"/>
      <c r="X156" s="217"/>
    </row>
    <row r="157" spans="1:24">
      <c r="A157" s="364"/>
      <c r="B157" s="367"/>
      <c r="C157" s="706" t="s">
        <v>1086</v>
      </c>
      <c r="D157" s="707"/>
      <c r="E157" s="707"/>
      <c r="F157" s="708"/>
      <c r="G157" s="118">
        <v>140</v>
      </c>
      <c r="H157" s="525" t="str">
        <f>IF(J157&gt;60%,"X","  ")</f>
        <v xml:space="preserve">  </v>
      </c>
      <c r="I157" s="367"/>
      <c r="J157" s="524">
        <f>IF(J35=0,0,+J37/J35)</f>
        <v>0</v>
      </c>
      <c r="K157" s="366"/>
      <c r="L157" s="217"/>
      <c r="M157" s="217"/>
      <c r="N157" s="520"/>
      <c r="O157" s="520"/>
      <c r="P157" s="520"/>
      <c r="Q157" s="217"/>
      <c r="R157" s="217"/>
      <c r="S157" s="217"/>
      <c r="T157" s="217"/>
      <c r="U157" s="217"/>
      <c r="V157" s="217"/>
      <c r="W157" s="217"/>
      <c r="X157" s="217"/>
    </row>
    <row r="158" spans="1:24">
      <c r="A158" s="364"/>
      <c r="B158" s="367"/>
      <c r="C158" s="706" t="s">
        <v>1087</v>
      </c>
      <c r="D158" s="707"/>
      <c r="E158" s="707"/>
      <c r="F158" s="708"/>
      <c r="G158" s="118">
        <v>141</v>
      </c>
      <c r="H158" s="189"/>
      <c r="I158" s="367"/>
      <c r="J158" s="367"/>
      <c r="K158" s="366"/>
      <c r="L158" s="217"/>
      <c r="M158" s="217"/>
      <c r="N158" s="520"/>
      <c r="O158" s="520"/>
      <c r="P158" s="520"/>
      <c r="Q158" s="217"/>
      <c r="R158" s="217"/>
      <c r="S158" s="217"/>
      <c r="T158" s="217"/>
      <c r="U158" s="217"/>
      <c r="V158" s="217"/>
      <c r="W158" s="217"/>
      <c r="X158" s="217"/>
    </row>
    <row r="159" spans="1:24">
      <c r="A159" s="364"/>
      <c r="B159" s="367"/>
      <c r="C159" s="367"/>
      <c r="D159" s="367"/>
      <c r="E159" s="367"/>
      <c r="F159" s="367"/>
      <c r="G159" s="118"/>
      <c r="H159" s="367"/>
      <c r="I159" s="367"/>
      <c r="J159" s="367"/>
      <c r="K159" s="366"/>
      <c r="L159" s="217"/>
      <c r="M159" s="217"/>
      <c r="N159" s="1033" t="s">
        <v>273</v>
      </c>
      <c r="O159" s="1033"/>
      <c r="P159" s="1033"/>
      <c r="Q159" s="217"/>
      <c r="R159" s="217"/>
      <c r="S159" s="217"/>
      <c r="T159" s="217"/>
      <c r="U159" s="217"/>
      <c r="V159" s="217"/>
      <c r="W159" s="217"/>
      <c r="X159" s="217"/>
    </row>
    <row r="160" spans="1:24" ht="30" customHeight="1">
      <c r="A160" s="364"/>
      <c r="B160" s="367"/>
      <c r="C160" s="367"/>
      <c r="D160" s="367"/>
      <c r="E160" s="367"/>
      <c r="F160" s="367"/>
      <c r="G160" s="367"/>
      <c r="H160" s="367"/>
      <c r="I160" s="367"/>
      <c r="J160" s="367"/>
      <c r="K160" s="366"/>
      <c r="L160" s="217"/>
      <c r="M160" s="217"/>
      <c r="N160" s="1033"/>
      <c r="O160" s="1033"/>
      <c r="P160" s="1033"/>
      <c r="Q160" s="217"/>
      <c r="R160" s="217"/>
      <c r="S160" s="217"/>
      <c r="T160" s="217"/>
      <c r="U160" s="217"/>
      <c r="V160" s="217"/>
      <c r="W160" s="217"/>
      <c r="X160" s="217"/>
    </row>
    <row r="161" spans="1:24" ht="30" customHeight="1">
      <c r="A161" s="364"/>
      <c r="B161" s="367"/>
      <c r="C161" s="223"/>
      <c r="D161" s="964" t="s">
        <v>180</v>
      </c>
      <c r="E161" s="965"/>
      <c r="F161" s="965"/>
      <c r="G161" s="965"/>
      <c r="H161" s="965"/>
      <c r="I161" s="965"/>
      <c r="J161" s="965"/>
      <c r="K161" s="366"/>
      <c r="L161" s="217"/>
      <c r="M161" s="217"/>
      <c r="N161" s="966" t="s">
        <v>1002</v>
      </c>
      <c r="O161" s="966"/>
      <c r="P161" s="966"/>
      <c r="Q161" s="966"/>
      <c r="R161" s="966"/>
      <c r="S161" s="966"/>
      <c r="T161" s="966"/>
      <c r="U161" s="966"/>
      <c r="V161" s="966"/>
      <c r="W161" s="217"/>
      <c r="X161" s="217"/>
    </row>
    <row r="162" spans="1:24" ht="12.75" customHeight="1">
      <c r="A162" s="364"/>
      <c r="B162" s="367"/>
      <c r="C162" s="223"/>
      <c r="D162" s="223"/>
      <c r="E162" s="223"/>
      <c r="F162" s="223"/>
      <c r="G162" s="223"/>
      <c r="H162" s="223"/>
      <c r="I162" s="223"/>
      <c r="J162" s="223"/>
      <c r="K162" s="366"/>
      <c r="L162" s="217"/>
      <c r="M162" s="217"/>
      <c r="N162" s="966"/>
      <c r="O162" s="966"/>
      <c r="P162" s="966"/>
      <c r="Q162" s="966"/>
      <c r="R162" s="966"/>
      <c r="S162" s="966"/>
      <c r="T162" s="966"/>
      <c r="U162" s="966"/>
      <c r="V162" s="966"/>
      <c r="W162" s="217"/>
      <c r="X162" s="217"/>
    </row>
    <row r="163" spans="1:24" ht="12.75" customHeight="1">
      <c r="A163" s="364"/>
      <c r="B163" s="367"/>
      <c r="C163" s="223"/>
      <c r="D163" s="967" t="s">
        <v>121</v>
      </c>
      <c r="E163" s="968"/>
      <c r="F163" s="969"/>
      <c r="G163" s="223"/>
      <c r="H163" s="223"/>
      <c r="I163" s="223"/>
      <c r="J163" s="80">
        <f>+'Rtas Especiales'!J38</f>
        <v>0</v>
      </c>
      <c r="K163" s="366"/>
      <c r="L163" s="217"/>
      <c r="M163" s="217"/>
      <c r="N163" s="966"/>
      <c r="O163" s="966"/>
      <c r="P163" s="966"/>
      <c r="Q163" s="966"/>
      <c r="R163" s="966"/>
      <c r="S163" s="966"/>
      <c r="T163" s="966"/>
      <c r="U163" s="966"/>
      <c r="V163" s="966"/>
      <c r="W163" s="217"/>
      <c r="X163" s="217"/>
    </row>
    <row r="164" spans="1:24" ht="12.75" customHeight="1">
      <c r="A164" s="364"/>
      <c r="B164" s="367"/>
      <c r="C164" s="223"/>
      <c r="D164" s="223"/>
      <c r="E164" s="223"/>
      <c r="F164" s="223"/>
      <c r="G164" s="223"/>
      <c r="H164" s="223"/>
      <c r="I164" s="223"/>
      <c r="J164" s="223"/>
      <c r="K164" s="366"/>
      <c r="L164" s="217"/>
      <c r="M164" s="217"/>
      <c r="N164" s="966"/>
      <c r="O164" s="966"/>
      <c r="P164" s="966"/>
      <c r="Q164" s="966"/>
      <c r="R164" s="966"/>
      <c r="S164" s="966"/>
      <c r="T164" s="966"/>
      <c r="U164" s="966"/>
      <c r="V164" s="966"/>
      <c r="W164" s="217"/>
      <c r="X164" s="217"/>
    </row>
    <row r="165" spans="1:24" ht="12.75" customHeight="1">
      <c r="A165" s="364"/>
      <c r="B165" s="367"/>
      <c r="C165" s="223"/>
      <c r="D165" s="223"/>
      <c r="E165" s="223"/>
      <c r="F165" s="223"/>
      <c r="G165" s="223"/>
      <c r="H165" s="81" t="s">
        <v>122</v>
      </c>
      <c r="I165" s="223"/>
      <c r="J165" s="81" t="s">
        <v>123</v>
      </c>
      <c r="K165" s="366"/>
      <c r="L165" s="217"/>
      <c r="M165" s="217"/>
      <c r="N165" s="966"/>
      <c r="O165" s="966"/>
      <c r="P165" s="966"/>
      <c r="Q165" s="966"/>
      <c r="R165" s="966"/>
      <c r="S165" s="966"/>
      <c r="T165" s="966"/>
      <c r="U165" s="966"/>
      <c r="V165" s="966"/>
      <c r="W165" s="217"/>
      <c r="X165" s="217"/>
    </row>
    <row r="166" spans="1:24" ht="12.75" customHeight="1">
      <c r="A166" s="364"/>
      <c r="B166" s="367"/>
      <c r="C166" s="223"/>
      <c r="D166" s="223"/>
      <c r="E166" s="223"/>
      <c r="F166" s="223"/>
      <c r="G166" s="223"/>
      <c r="H166" s="223"/>
      <c r="I166" s="223"/>
      <c r="J166" s="223"/>
      <c r="K166" s="366"/>
      <c r="L166" s="217"/>
      <c r="M166" s="217"/>
      <c r="N166" s="966"/>
      <c r="O166" s="966"/>
      <c r="P166" s="966"/>
      <c r="Q166" s="966"/>
      <c r="R166" s="966"/>
      <c r="S166" s="966"/>
      <c r="T166" s="966"/>
      <c r="U166" s="966"/>
      <c r="V166" s="966"/>
      <c r="W166" s="217"/>
      <c r="X166" s="217"/>
    </row>
    <row r="167" spans="1:24" ht="12.75" customHeight="1">
      <c r="A167" s="364"/>
      <c r="B167" s="367"/>
      <c r="C167" s="223"/>
      <c r="D167" s="82" t="s">
        <v>157</v>
      </c>
      <c r="E167" s="83"/>
      <c r="F167" s="84"/>
      <c r="G167" s="223"/>
      <c r="H167" s="87">
        <f>+J93+J101+J105+J106+J107+J108-J109</f>
        <v>0</v>
      </c>
      <c r="I167" s="223"/>
      <c r="J167" s="87">
        <v>0</v>
      </c>
      <c r="K167" s="366"/>
      <c r="L167" s="217"/>
      <c r="M167" s="217"/>
      <c r="N167" s="966"/>
      <c r="O167" s="966"/>
      <c r="P167" s="966"/>
      <c r="Q167" s="966"/>
      <c r="R167" s="966"/>
      <c r="S167" s="966"/>
      <c r="T167" s="966"/>
      <c r="U167" s="966"/>
      <c r="V167" s="966"/>
      <c r="W167" s="217"/>
      <c r="X167" s="217"/>
    </row>
    <row r="168" spans="1:24">
      <c r="A168" s="364"/>
      <c r="B168" s="367"/>
      <c r="C168" s="223"/>
      <c r="D168" s="85" t="s">
        <v>158</v>
      </c>
      <c r="E168" s="77"/>
      <c r="F168" s="86"/>
      <c r="G168" s="223"/>
      <c r="H168" s="88">
        <f>+J24+J36+J53+J71+J98+J104</f>
        <v>0</v>
      </c>
      <c r="I168" s="223"/>
      <c r="J168" s="90"/>
      <c r="K168" s="366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</row>
    <row r="169" spans="1:24">
      <c r="A169" s="364"/>
      <c r="B169" s="367"/>
      <c r="C169" s="223"/>
      <c r="D169" s="85" t="s">
        <v>159</v>
      </c>
      <c r="E169" s="77"/>
      <c r="F169" s="86"/>
      <c r="G169" s="223"/>
      <c r="H169" s="88">
        <f>+J28+J41+J59+J77+J100+J109</f>
        <v>0</v>
      </c>
      <c r="I169" s="223"/>
      <c r="J169" s="90"/>
      <c r="K169" s="366"/>
      <c r="L169" s="217"/>
      <c r="M169" s="217"/>
      <c r="N169" s="966" t="s">
        <v>995</v>
      </c>
      <c r="O169" s="966"/>
      <c r="P169" s="966"/>
      <c r="Q169" s="966"/>
      <c r="R169" s="966"/>
      <c r="S169" s="966"/>
      <c r="T169" s="966"/>
      <c r="U169" s="966"/>
      <c r="V169" s="966"/>
      <c r="W169" s="217"/>
      <c r="X169" s="217"/>
    </row>
    <row r="170" spans="1:24">
      <c r="A170" s="364"/>
      <c r="B170" s="367"/>
      <c r="C170" s="223"/>
      <c r="D170" s="85" t="s">
        <v>160</v>
      </c>
      <c r="E170" s="77"/>
      <c r="F170" s="86"/>
      <c r="G170" s="223"/>
      <c r="H170" s="88">
        <f>+J114</f>
        <v>0</v>
      </c>
      <c r="I170" s="223"/>
      <c r="J170" s="90"/>
      <c r="K170" s="366"/>
      <c r="L170" s="217"/>
      <c r="M170" s="217"/>
      <c r="N170" s="966"/>
      <c r="O170" s="966"/>
      <c r="P170" s="966"/>
      <c r="Q170" s="966"/>
      <c r="R170" s="966"/>
      <c r="S170" s="966"/>
      <c r="T170" s="966"/>
      <c r="U170" s="966"/>
      <c r="V170" s="966"/>
      <c r="W170" s="217"/>
      <c r="X170" s="217"/>
    </row>
    <row r="171" spans="1:24">
      <c r="A171" s="364"/>
      <c r="B171" s="367"/>
      <c r="C171" s="223"/>
      <c r="D171" s="85" t="s">
        <v>161</v>
      </c>
      <c r="E171" s="77"/>
      <c r="F171" s="86"/>
      <c r="G171" s="223"/>
      <c r="H171" s="88">
        <f>+J113</f>
        <v>0</v>
      </c>
      <c r="I171" s="223"/>
      <c r="J171" s="90"/>
      <c r="K171" s="366"/>
      <c r="L171" s="217"/>
      <c r="M171" s="217"/>
      <c r="N171" s="966"/>
      <c r="O171" s="966"/>
      <c r="P171" s="966"/>
      <c r="Q171" s="966"/>
      <c r="R171" s="966"/>
      <c r="S171" s="966"/>
      <c r="T171" s="966"/>
      <c r="U171" s="966"/>
      <c r="V171" s="966"/>
      <c r="W171" s="217"/>
      <c r="X171" s="217"/>
    </row>
    <row r="172" spans="1:24">
      <c r="A172" s="364"/>
      <c r="B172" s="367"/>
      <c r="C172" s="223"/>
      <c r="D172" s="178" t="s">
        <v>124</v>
      </c>
      <c r="E172" s="179"/>
      <c r="F172" s="180"/>
      <c r="G172" s="223"/>
      <c r="H172" s="91"/>
      <c r="I172" s="223"/>
      <c r="J172" s="89">
        <f>+J130+J132</f>
        <v>0</v>
      </c>
      <c r="K172" s="366"/>
      <c r="L172" s="217"/>
      <c r="M172" s="217"/>
      <c r="N172" s="966"/>
      <c r="O172" s="966"/>
      <c r="P172" s="966"/>
      <c r="Q172" s="966"/>
      <c r="R172" s="966"/>
      <c r="S172" s="966"/>
      <c r="T172" s="966"/>
      <c r="U172" s="966"/>
      <c r="V172" s="966"/>
      <c r="W172" s="217"/>
      <c r="X172" s="217"/>
    </row>
    <row r="173" spans="1:24">
      <c r="A173" s="364"/>
      <c r="B173" s="367"/>
      <c r="C173" s="223"/>
      <c r="D173" s="223"/>
      <c r="E173" s="223"/>
      <c r="F173" s="223"/>
      <c r="G173" s="223"/>
      <c r="H173" s="223"/>
      <c r="I173" s="223"/>
      <c r="J173" s="223"/>
      <c r="K173" s="366"/>
      <c r="L173" s="217"/>
      <c r="M173" s="217"/>
      <c r="N173" s="966"/>
      <c r="O173" s="966"/>
      <c r="P173" s="966"/>
      <c r="Q173" s="966"/>
      <c r="R173" s="966"/>
      <c r="S173" s="966"/>
      <c r="T173" s="966"/>
      <c r="U173" s="966"/>
      <c r="V173" s="966"/>
      <c r="W173" s="217"/>
      <c r="X173" s="217"/>
    </row>
    <row r="174" spans="1:24">
      <c r="A174" s="364"/>
      <c r="B174" s="367"/>
      <c r="C174" s="223"/>
      <c r="D174" s="92" t="s">
        <v>125</v>
      </c>
      <c r="E174" s="78"/>
      <c r="F174" s="79"/>
      <c r="G174" s="223"/>
      <c r="H174" s="181">
        <f>SUM(H167:H172)</f>
        <v>0</v>
      </c>
      <c r="I174" s="223"/>
      <c r="J174" s="93">
        <f>SUM(J167:J172)</f>
        <v>0</v>
      </c>
      <c r="K174" s="366"/>
      <c r="L174" s="217"/>
      <c r="M174" s="217"/>
      <c r="N174" s="966"/>
      <c r="O174" s="966"/>
      <c r="P174" s="966"/>
      <c r="Q174" s="966"/>
      <c r="R174" s="966"/>
      <c r="S174" s="966"/>
      <c r="T174" s="966"/>
      <c r="U174" s="966"/>
      <c r="V174" s="966"/>
      <c r="W174" s="217"/>
      <c r="X174" s="217"/>
    </row>
    <row r="175" spans="1:24">
      <c r="A175" s="364"/>
      <c r="B175" s="367"/>
      <c r="C175" s="223"/>
      <c r="D175" s="223"/>
      <c r="E175" s="223"/>
      <c r="F175" s="223"/>
      <c r="G175" s="223"/>
      <c r="H175" s="223"/>
      <c r="I175" s="223"/>
      <c r="J175" s="223"/>
      <c r="K175" s="366"/>
      <c r="L175" s="217"/>
      <c r="M175" s="217"/>
      <c r="N175" s="966"/>
      <c r="O175" s="966"/>
      <c r="P175" s="966"/>
      <c r="Q175" s="966"/>
      <c r="R175" s="966"/>
      <c r="S175" s="966"/>
      <c r="T175" s="966"/>
      <c r="U175" s="966"/>
      <c r="V175" s="966"/>
      <c r="W175" s="217"/>
      <c r="X175" s="217"/>
    </row>
    <row r="176" spans="1:24" ht="16.5">
      <c r="A176" s="364"/>
      <c r="B176" s="367"/>
      <c r="C176" s="223"/>
      <c r="D176" s="997" t="s">
        <v>842</v>
      </c>
      <c r="E176" s="998"/>
      <c r="F176" s="999"/>
      <c r="G176" s="223"/>
      <c r="H176" s="223"/>
      <c r="I176" s="223"/>
      <c r="J176" s="125">
        <f>+J163+H174-J174</f>
        <v>0</v>
      </c>
      <c r="K176" s="366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</row>
    <row r="177" spans="1:24">
      <c r="A177" s="364"/>
      <c r="B177" s="367"/>
      <c r="C177" s="223"/>
      <c r="D177" s="223"/>
      <c r="E177" s="223"/>
      <c r="F177" s="223"/>
      <c r="G177" s="223"/>
      <c r="H177" s="223"/>
      <c r="I177" s="223"/>
      <c r="J177" s="223"/>
      <c r="K177" s="366"/>
      <c r="L177" s="217"/>
      <c r="M177" s="217"/>
      <c r="N177" s="966" t="s">
        <v>941</v>
      </c>
      <c r="O177" s="966"/>
      <c r="P177" s="966"/>
      <c r="Q177" s="966"/>
      <c r="R177" s="966"/>
      <c r="S177" s="966"/>
      <c r="T177" s="966"/>
      <c r="U177" s="966"/>
      <c r="V177" s="966"/>
      <c r="W177" s="217"/>
      <c r="X177" s="217"/>
    </row>
    <row r="178" spans="1:24" ht="16.5">
      <c r="A178" s="364"/>
      <c r="B178" s="367"/>
      <c r="C178" s="223"/>
      <c r="D178" s="92" t="s">
        <v>126</v>
      </c>
      <c r="E178" s="78"/>
      <c r="F178" s="79"/>
      <c r="G178" s="223"/>
      <c r="H178" s="223"/>
      <c r="I178" s="223"/>
      <c r="J178" s="125">
        <f>+J21</f>
        <v>0</v>
      </c>
      <c r="K178" s="366"/>
      <c r="L178" s="217"/>
      <c r="M178" s="217"/>
      <c r="N178" s="966"/>
      <c r="O178" s="966"/>
      <c r="P178" s="966"/>
      <c r="Q178" s="966"/>
      <c r="R178" s="966"/>
      <c r="S178" s="966"/>
      <c r="T178" s="966"/>
      <c r="U178" s="966"/>
      <c r="V178" s="966"/>
      <c r="W178" s="217"/>
      <c r="X178" s="217"/>
    </row>
    <row r="179" spans="1:24">
      <c r="A179" s="364"/>
      <c r="B179" s="367"/>
      <c r="C179" s="223"/>
      <c r="D179" s="223"/>
      <c r="E179" s="223"/>
      <c r="F179" s="223"/>
      <c r="G179" s="223"/>
      <c r="H179" s="223"/>
      <c r="I179" s="223"/>
      <c r="J179" s="223"/>
      <c r="K179" s="366"/>
      <c r="L179" s="217"/>
      <c r="M179" s="217"/>
      <c r="N179" s="966"/>
      <c r="O179" s="966"/>
      <c r="P179" s="966"/>
      <c r="Q179" s="966"/>
      <c r="R179" s="966"/>
      <c r="S179" s="966"/>
      <c r="T179" s="966"/>
      <c r="U179" s="966"/>
      <c r="V179" s="966"/>
      <c r="W179" s="217"/>
      <c r="X179" s="217"/>
    </row>
    <row r="180" spans="1:24" ht="16.5">
      <c r="A180" s="364"/>
      <c r="B180" s="367"/>
      <c r="C180" s="223"/>
      <c r="D180" s="126" t="s">
        <v>127</v>
      </c>
      <c r="E180" s="78"/>
      <c r="F180" s="79"/>
      <c r="G180" s="223"/>
      <c r="H180" s="223"/>
      <c r="I180" s="223"/>
      <c r="J180" s="125">
        <f>+J176-J178</f>
        <v>0</v>
      </c>
      <c r="K180" s="366"/>
      <c r="L180" s="217"/>
      <c r="M180" s="217"/>
      <c r="N180" s="966"/>
      <c r="O180" s="966"/>
      <c r="P180" s="966"/>
      <c r="Q180" s="966"/>
      <c r="R180" s="966"/>
      <c r="S180" s="966"/>
      <c r="T180" s="966"/>
      <c r="U180" s="966"/>
      <c r="V180" s="966"/>
      <c r="W180" s="217"/>
      <c r="X180" s="217"/>
    </row>
    <row r="181" spans="1:24">
      <c r="A181" s="364"/>
      <c r="B181" s="367"/>
      <c r="C181" s="223"/>
      <c r="D181" s="223"/>
      <c r="E181" s="223"/>
      <c r="F181" s="223"/>
      <c r="G181" s="223"/>
      <c r="H181" s="223"/>
      <c r="I181" s="223"/>
      <c r="J181" s="223"/>
      <c r="K181" s="366"/>
      <c r="L181" s="217"/>
      <c r="M181" s="217"/>
      <c r="N181" s="966"/>
      <c r="O181" s="966"/>
      <c r="P181" s="966"/>
      <c r="Q181" s="966"/>
      <c r="R181" s="966"/>
      <c r="S181" s="966"/>
      <c r="T181" s="966"/>
      <c r="U181" s="966"/>
      <c r="V181" s="966"/>
      <c r="W181" s="217"/>
      <c r="X181" s="217"/>
    </row>
    <row r="182" spans="1:24" ht="31.5" customHeight="1">
      <c r="A182" s="364"/>
      <c r="B182" s="367"/>
      <c r="C182" s="223"/>
      <c r="D182" s="1000" t="s">
        <v>181</v>
      </c>
      <c r="E182" s="1000"/>
      <c r="F182" s="1000"/>
      <c r="G182" s="1000"/>
      <c r="H182" s="1000"/>
      <c r="I182" s="1000"/>
      <c r="J182" s="1000"/>
      <c r="K182" s="366"/>
      <c r="L182" s="217"/>
      <c r="M182" s="217"/>
      <c r="N182" s="966"/>
      <c r="O182" s="966"/>
      <c r="P182" s="966"/>
      <c r="Q182" s="966"/>
      <c r="R182" s="966"/>
      <c r="S182" s="966"/>
      <c r="T182" s="966"/>
      <c r="U182" s="966"/>
      <c r="V182" s="966"/>
      <c r="W182" s="217"/>
      <c r="X182" s="217"/>
    </row>
    <row r="183" spans="1:24">
      <c r="A183" s="364"/>
      <c r="B183" s="367"/>
      <c r="C183" s="223"/>
      <c r="D183" s="1001" t="s">
        <v>272</v>
      </c>
      <c r="E183" s="1001"/>
      <c r="F183" s="1001"/>
      <c r="G183" s="1001"/>
      <c r="H183" s="1001"/>
      <c r="I183" s="1001"/>
      <c r="J183" s="1001"/>
      <c r="K183" s="366"/>
      <c r="L183" s="217"/>
      <c r="M183" s="217"/>
      <c r="N183" s="966"/>
      <c r="O183" s="966"/>
      <c r="P183" s="966"/>
      <c r="Q183" s="966"/>
      <c r="R183" s="966"/>
      <c r="S183" s="966"/>
      <c r="T183" s="966"/>
      <c r="U183" s="966"/>
      <c r="V183" s="966"/>
      <c r="W183" s="217"/>
      <c r="X183" s="217"/>
    </row>
    <row r="184" spans="1:24">
      <c r="A184" s="364"/>
      <c r="B184" s="367"/>
      <c r="C184" s="223"/>
      <c r="D184" s="1001"/>
      <c r="E184" s="1001"/>
      <c r="F184" s="1001"/>
      <c r="G184" s="1001"/>
      <c r="H184" s="1001"/>
      <c r="I184" s="1001"/>
      <c r="J184" s="1001"/>
      <c r="K184" s="366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</row>
    <row r="185" spans="1:24">
      <c r="A185" s="364"/>
      <c r="B185" s="367"/>
      <c r="C185" s="223"/>
      <c r="D185" s="1002"/>
      <c r="E185" s="1002"/>
      <c r="F185" s="1002"/>
      <c r="G185" s="1002"/>
      <c r="H185" s="1002"/>
      <c r="I185" s="1002"/>
      <c r="J185" s="1002"/>
      <c r="K185" s="366"/>
      <c r="L185" s="217"/>
      <c r="M185" s="217"/>
      <c r="N185" s="966" t="s">
        <v>942</v>
      </c>
      <c r="O185" s="966"/>
      <c r="P185" s="966"/>
      <c r="Q185" s="966"/>
      <c r="R185" s="966"/>
      <c r="S185" s="966"/>
      <c r="T185" s="966"/>
      <c r="U185" s="966"/>
      <c r="V185" s="966"/>
      <c r="W185" s="217"/>
      <c r="X185" s="217"/>
    </row>
    <row r="186" spans="1:24">
      <c r="A186" s="364"/>
      <c r="B186" s="367"/>
      <c r="C186" s="223"/>
      <c r="D186" s="986"/>
      <c r="E186" s="986"/>
      <c r="F186" s="986"/>
      <c r="G186" s="986"/>
      <c r="H186" s="986"/>
      <c r="I186" s="986"/>
      <c r="J186" s="229"/>
      <c r="K186" s="366"/>
      <c r="L186" s="217"/>
      <c r="M186" s="217"/>
      <c r="N186" s="966"/>
      <c r="O186" s="966"/>
      <c r="P186" s="966"/>
      <c r="Q186" s="966"/>
      <c r="R186" s="966"/>
      <c r="S186" s="966"/>
      <c r="T186" s="966"/>
      <c r="U186" s="966"/>
      <c r="V186" s="966"/>
      <c r="W186" s="217"/>
      <c r="X186" s="217"/>
    </row>
    <row r="187" spans="1:24">
      <c r="A187" s="364"/>
      <c r="B187" s="367"/>
      <c r="C187" s="223"/>
      <c r="D187" s="986"/>
      <c r="E187" s="986"/>
      <c r="F187" s="986"/>
      <c r="G187" s="986"/>
      <c r="H187" s="986"/>
      <c r="I187" s="986"/>
      <c r="J187" s="229"/>
      <c r="K187" s="366"/>
      <c r="L187" s="217"/>
      <c r="M187" s="217"/>
      <c r="N187" s="966"/>
      <c r="O187" s="966"/>
      <c r="P187" s="966"/>
      <c r="Q187" s="966"/>
      <c r="R187" s="966"/>
      <c r="S187" s="966"/>
      <c r="T187" s="966"/>
      <c r="U187" s="966"/>
      <c r="V187" s="966"/>
      <c r="W187" s="217"/>
      <c r="X187" s="217"/>
    </row>
    <row r="188" spans="1:24">
      <c r="A188" s="364"/>
      <c r="B188" s="367"/>
      <c r="C188" s="223"/>
      <c r="D188" s="986"/>
      <c r="E188" s="986"/>
      <c r="F188" s="986"/>
      <c r="G188" s="986"/>
      <c r="H188" s="986"/>
      <c r="I188" s="986"/>
      <c r="J188" s="229"/>
      <c r="K188" s="366"/>
      <c r="L188" s="217"/>
      <c r="M188" s="217"/>
      <c r="N188" s="966"/>
      <c r="O188" s="966"/>
      <c r="P188" s="966"/>
      <c r="Q188" s="966"/>
      <c r="R188" s="966"/>
      <c r="S188" s="966"/>
      <c r="T188" s="966"/>
      <c r="U188" s="966"/>
      <c r="V188" s="966"/>
      <c r="W188" s="217"/>
      <c r="X188" s="217"/>
    </row>
    <row r="189" spans="1:24">
      <c r="A189" s="364"/>
      <c r="B189" s="367"/>
      <c r="C189" s="223"/>
      <c r="D189" s="986"/>
      <c r="E189" s="986"/>
      <c r="F189" s="986"/>
      <c r="G189" s="986"/>
      <c r="H189" s="986"/>
      <c r="I189" s="986"/>
      <c r="J189" s="229"/>
      <c r="K189" s="366"/>
      <c r="L189" s="217"/>
      <c r="M189" s="217"/>
      <c r="N189" s="966"/>
      <c r="O189" s="966"/>
      <c r="P189" s="966"/>
      <c r="Q189" s="966"/>
      <c r="R189" s="966"/>
      <c r="S189" s="966"/>
      <c r="T189" s="966"/>
      <c r="U189" s="966"/>
      <c r="V189" s="966"/>
      <c r="W189" s="217"/>
      <c r="X189" s="217"/>
    </row>
    <row r="190" spans="1:24">
      <c r="A190" s="364"/>
      <c r="B190" s="367"/>
      <c r="C190" s="223"/>
      <c r="D190" s="986"/>
      <c r="E190" s="986"/>
      <c r="F190" s="986"/>
      <c r="G190" s="986"/>
      <c r="H190" s="986"/>
      <c r="I190" s="986"/>
      <c r="J190" s="229"/>
      <c r="K190" s="366"/>
      <c r="L190" s="217"/>
      <c r="M190" s="217"/>
      <c r="N190" s="966"/>
      <c r="O190" s="966"/>
      <c r="P190" s="966"/>
      <c r="Q190" s="966"/>
      <c r="R190" s="966"/>
      <c r="S190" s="966"/>
      <c r="T190" s="966"/>
      <c r="U190" s="966"/>
      <c r="V190" s="966"/>
      <c r="W190" s="217"/>
      <c r="X190" s="217"/>
    </row>
    <row r="191" spans="1:24">
      <c r="A191" s="364"/>
      <c r="B191" s="367"/>
      <c r="C191" s="223"/>
      <c r="D191" s="986"/>
      <c r="E191" s="986"/>
      <c r="F191" s="986"/>
      <c r="G191" s="986"/>
      <c r="H191" s="986"/>
      <c r="I191" s="986"/>
      <c r="J191" s="229"/>
      <c r="K191" s="366"/>
      <c r="L191" s="217"/>
      <c r="M191" s="217"/>
      <c r="N191" s="966"/>
      <c r="O191" s="966"/>
      <c r="P191" s="966"/>
      <c r="Q191" s="966"/>
      <c r="R191" s="966"/>
      <c r="S191" s="966"/>
      <c r="T191" s="966"/>
      <c r="U191" s="966"/>
      <c r="V191" s="966"/>
      <c r="W191" s="217"/>
      <c r="X191" s="217"/>
    </row>
    <row r="192" spans="1:24">
      <c r="A192" s="364"/>
      <c r="B192" s="367"/>
      <c r="C192" s="223"/>
      <c r="D192" s="223"/>
      <c r="E192" s="223"/>
      <c r="F192" s="223"/>
      <c r="G192" s="223"/>
      <c r="H192" s="223"/>
      <c r="I192" s="223"/>
      <c r="J192" s="223"/>
      <c r="K192" s="366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</row>
    <row r="193" spans="1:24" ht="16.5">
      <c r="A193" s="364"/>
      <c r="B193" s="367"/>
      <c r="C193" s="223"/>
      <c r="D193" s="126" t="s">
        <v>128</v>
      </c>
      <c r="E193" s="78"/>
      <c r="F193" s="79"/>
      <c r="G193" s="223"/>
      <c r="H193" s="223"/>
      <c r="I193" s="223"/>
      <c r="J193" s="125">
        <f>SUM(J186:J191)</f>
        <v>0</v>
      </c>
      <c r="K193" s="366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</row>
    <row r="194" spans="1:24">
      <c r="A194" s="364"/>
      <c r="B194" s="367"/>
      <c r="C194" s="223"/>
      <c r="D194" s="223"/>
      <c r="E194" s="223"/>
      <c r="F194" s="223"/>
      <c r="G194" s="223"/>
      <c r="H194" s="223"/>
      <c r="I194" s="223"/>
      <c r="J194" s="223"/>
      <c r="K194" s="366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</row>
    <row r="195" spans="1:24" ht="35.25" customHeight="1">
      <c r="A195" s="364"/>
      <c r="B195" s="367"/>
      <c r="C195" s="367"/>
      <c r="D195" s="367"/>
      <c r="E195" s="367"/>
      <c r="F195" s="367"/>
      <c r="G195" s="367"/>
      <c r="H195" s="367"/>
      <c r="I195" s="367"/>
      <c r="J195" s="367"/>
      <c r="K195" s="366"/>
      <c r="L195" s="367"/>
      <c r="M195" s="367"/>
      <c r="N195" s="367"/>
      <c r="O195" s="367"/>
      <c r="P195" s="367"/>
      <c r="Q195" s="367"/>
      <c r="R195" s="367"/>
      <c r="S195" s="367"/>
      <c r="T195" s="367"/>
      <c r="U195" s="367"/>
      <c r="V195" s="367"/>
      <c r="W195" s="367"/>
      <c r="X195" s="217"/>
    </row>
    <row r="196" spans="1:24" ht="31.5" customHeight="1">
      <c r="A196" s="364"/>
      <c r="B196" s="367"/>
      <c r="C196" s="1003" t="s">
        <v>1107</v>
      </c>
      <c r="D196" s="1004"/>
      <c r="E196" s="1004"/>
      <c r="F196" s="1004"/>
      <c r="G196" s="1004"/>
      <c r="H196" s="1004"/>
      <c r="I196" s="1004"/>
      <c r="J196" s="1004"/>
      <c r="K196" s="366"/>
      <c r="L196" s="367"/>
      <c r="M196" s="367"/>
      <c r="N196" s="367"/>
      <c r="O196" s="367"/>
      <c r="P196" s="367"/>
      <c r="Q196" s="367"/>
      <c r="R196" s="367"/>
      <c r="S196" s="367"/>
      <c r="T196" s="367"/>
      <c r="U196" s="367"/>
      <c r="V196" s="367"/>
      <c r="W196" s="367"/>
      <c r="X196" s="217"/>
    </row>
    <row r="197" spans="1:24" ht="13.5">
      <c r="A197" s="364"/>
      <c r="B197" s="367"/>
      <c r="C197" s="987" t="s">
        <v>1103</v>
      </c>
      <c r="D197" s="988"/>
      <c r="E197" s="988"/>
      <c r="F197" s="989"/>
      <c r="G197" s="990"/>
      <c r="H197" s="991"/>
      <c r="I197" s="1005" t="s">
        <v>1006</v>
      </c>
      <c r="J197" s="1005"/>
      <c r="K197" s="366"/>
      <c r="L197" s="367"/>
      <c r="M197" s="367"/>
      <c r="N197" s="367"/>
      <c r="O197" s="367"/>
      <c r="P197" s="367"/>
      <c r="Q197" s="367"/>
      <c r="R197" s="367"/>
      <c r="S197" s="367"/>
      <c r="T197" s="367"/>
      <c r="U197" s="367"/>
      <c r="V197" s="367"/>
      <c r="W197" s="367"/>
      <c r="X197" s="217"/>
    </row>
    <row r="198" spans="1:24" ht="13.5">
      <c r="A198" s="364"/>
      <c r="B198" s="367"/>
      <c r="C198" s="992" t="s">
        <v>1104</v>
      </c>
      <c r="D198" s="993"/>
      <c r="E198" s="993"/>
      <c r="F198" s="994"/>
      <c r="G198" s="995">
        <f>+F144</f>
        <v>0</v>
      </c>
      <c r="H198" s="996"/>
      <c r="I198" s="1005" t="s">
        <v>1009</v>
      </c>
      <c r="J198" s="1005"/>
      <c r="K198" s="366"/>
      <c r="L198" s="367"/>
      <c r="M198" s="367"/>
      <c r="N198" s="367"/>
      <c r="O198" s="367"/>
      <c r="P198" s="367"/>
      <c r="Q198" s="367"/>
      <c r="R198" s="367"/>
      <c r="S198" s="367"/>
      <c r="T198" s="367"/>
      <c r="U198" s="367"/>
      <c r="V198" s="367"/>
      <c r="W198" s="367"/>
      <c r="X198" s="217"/>
    </row>
    <row r="199" spans="1:24">
      <c r="A199" s="364"/>
      <c r="B199" s="367"/>
      <c r="C199" s="992" t="s">
        <v>1003</v>
      </c>
      <c r="D199" s="993"/>
      <c r="E199" s="993"/>
      <c r="F199" s="994"/>
      <c r="G199" s="1013">
        <f>+G198-G197</f>
        <v>0</v>
      </c>
      <c r="H199" s="1014"/>
      <c r="I199" s="1006"/>
      <c r="J199" s="1006"/>
      <c r="K199" s="366"/>
      <c r="L199" s="367"/>
      <c r="M199" s="367"/>
      <c r="N199" s="367"/>
      <c r="O199" s="367"/>
      <c r="P199" s="367"/>
      <c r="Q199" s="367"/>
      <c r="R199" s="367"/>
      <c r="S199" s="367"/>
      <c r="T199" s="367"/>
      <c r="U199" s="367"/>
      <c r="V199" s="367"/>
      <c r="W199" s="367"/>
      <c r="X199" s="217"/>
    </row>
    <row r="200" spans="1:24">
      <c r="A200" s="364"/>
      <c r="B200" s="367"/>
      <c r="C200" s="992" t="s">
        <v>1004</v>
      </c>
      <c r="D200" s="993"/>
      <c r="E200" s="993"/>
      <c r="F200" s="994"/>
      <c r="G200" s="1015" t="e">
        <f>+G199/G197</f>
        <v>#DIV/0!</v>
      </c>
      <c r="H200" s="1016"/>
      <c r="I200" s="1006"/>
      <c r="J200" s="1006"/>
      <c r="K200" s="366"/>
      <c r="L200" s="367"/>
      <c r="M200" s="367"/>
      <c r="N200" s="367"/>
      <c r="O200" s="367"/>
      <c r="P200" s="367"/>
      <c r="Q200" s="367"/>
      <c r="R200" s="367"/>
      <c r="S200" s="367"/>
      <c r="T200" s="367"/>
      <c r="U200" s="367"/>
      <c r="V200" s="367"/>
      <c r="W200" s="367"/>
      <c r="X200" s="217"/>
    </row>
    <row r="201" spans="1:24" ht="26.25" customHeight="1">
      <c r="A201" s="364"/>
      <c r="B201" s="367"/>
      <c r="C201" s="1009" t="s">
        <v>1005</v>
      </c>
      <c r="D201" s="1010"/>
      <c r="E201" s="542"/>
      <c r="F201" s="1025" t="str">
        <f>IF(L205=5,"Cumple requisitos formales","No cumple requisitos formales")</f>
        <v>No cumple requisitos formales</v>
      </c>
      <c r="G201" s="1027" t="s">
        <v>1105</v>
      </c>
      <c r="H201" s="1017" t="e">
        <f>IF(G200&gt;=35%,"Cumple % para beneficio auditoría en 6 meses","No tiene beneficio de 6 meses")</f>
        <v>#DIV/0!</v>
      </c>
      <c r="I201" s="1017"/>
      <c r="J201" s="1018"/>
      <c r="K201" s="478">
        <f>IF(E201="Si",1,0)</f>
        <v>0</v>
      </c>
      <c r="L201" s="479"/>
      <c r="M201" s="367"/>
      <c r="N201" s="367"/>
      <c r="O201" s="367"/>
      <c r="P201" s="367"/>
      <c r="Q201" s="367"/>
      <c r="R201" s="367"/>
      <c r="S201" s="367"/>
      <c r="T201" s="367"/>
      <c r="U201" s="367"/>
      <c r="V201" s="367"/>
      <c r="W201" s="367"/>
      <c r="X201" s="217"/>
    </row>
    <row r="202" spans="1:24" ht="24" customHeight="1">
      <c r="A202" s="364"/>
      <c r="B202" s="367"/>
      <c r="C202" s="1007" t="s">
        <v>1007</v>
      </c>
      <c r="D202" s="1008"/>
      <c r="E202" s="542"/>
      <c r="F202" s="1026"/>
      <c r="G202" s="1028"/>
      <c r="H202" s="1019" t="e">
        <f>IF(G200&lt;=25%,"No aplica beneficio de los 12 meses","Tiene beneficio de auditoría de 12 meses")</f>
        <v>#DIV/0!</v>
      </c>
      <c r="I202" s="1019"/>
      <c r="J202" s="1020"/>
      <c r="K202" s="478">
        <f t="shared" ref="K202:K205" si="6">IF(E202="Si",1,0)</f>
        <v>0</v>
      </c>
      <c r="L202" s="479"/>
      <c r="M202" s="367"/>
      <c r="N202" s="367"/>
      <c r="O202" s="367"/>
      <c r="P202" s="367"/>
      <c r="Q202" s="367"/>
      <c r="R202" s="367"/>
      <c r="S202" s="367"/>
      <c r="T202" s="367"/>
      <c r="U202" s="367"/>
      <c r="V202" s="367"/>
      <c r="W202" s="367"/>
      <c r="X202" s="217"/>
    </row>
    <row r="203" spans="1:24" ht="18.75" customHeight="1">
      <c r="A203" s="364"/>
      <c r="B203" s="367"/>
      <c r="C203" s="1007" t="s">
        <v>1008</v>
      </c>
      <c r="D203" s="1008"/>
      <c r="E203" s="542"/>
      <c r="F203" s="1026"/>
      <c r="G203" s="1029"/>
      <c r="H203" s="1021"/>
      <c r="I203" s="1022"/>
      <c r="J203" s="1022"/>
      <c r="K203" s="478">
        <f>IF(E203="No",1,0)</f>
        <v>0</v>
      </c>
      <c r="L203" s="479"/>
      <c r="M203" s="367"/>
      <c r="N203" s="367"/>
      <c r="O203" s="367"/>
      <c r="P203" s="367"/>
      <c r="Q203" s="367"/>
      <c r="R203" s="367"/>
      <c r="S203" s="367"/>
      <c r="T203" s="367"/>
      <c r="U203" s="367"/>
      <c r="V203" s="367"/>
      <c r="W203" s="367"/>
      <c r="X203" s="217"/>
    </row>
    <row r="204" spans="1:24" ht="25.5" customHeight="1">
      <c r="A204" s="364"/>
      <c r="B204" s="367"/>
      <c r="C204" s="1009" t="s">
        <v>1010</v>
      </c>
      <c r="D204" s="1010"/>
      <c r="E204" s="542"/>
      <c r="F204" s="1026"/>
      <c r="G204" s="540"/>
      <c r="H204" s="1023" t="s">
        <v>1106</v>
      </c>
      <c r="I204" s="1023"/>
      <c r="J204" s="1023"/>
      <c r="K204" s="478">
        <f t="shared" si="6"/>
        <v>0</v>
      </c>
      <c r="L204" s="479"/>
      <c r="M204" s="367"/>
      <c r="N204" s="367"/>
      <c r="O204" s="367"/>
      <c r="P204" s="367"/>
      <c r="Q204" s="367"/>
      <c r="R204" s="367"/>
      <c r="S204" s="367"/>
      <c r="T204" s="367"/>
      <c r="U204" s="367"/>
      <c r="V204" s="367"/>
      <c r="W204" s="367"/>
      <c r="X204" s="217"/>
    </row>
    <row r="205" spans="1:24" ht="94.5" customHeight="1">
      <c r="A205" s="364"/>
      <c r="B205" s="367"/>
      <c r="C205" s="1011" t="s">
        <v>1165</v>
      </c>
      <c r="D205" s="1012"/>
      <c r="E205" s="542"/>
      <c r="F205" s="1026"/>
      <c r="G205" s="541"/>
      <c r="H205" s="1024"/>
      <c r="I205" s="1024"/>
      <c r="J205" s="1024"/>
      <c r="K205" s="478">
        <f t="shared" si="6"/>
        <v>0</v>
      </c>
      <c r="L205" s="480">
        <f>+K201+K202+K203+K204+K205</f>
        <v>0</v>
      </c>
      <c r="M205" s="367"/>
      <c r="N205" s="367"/>
      <c r="O205" s="367"/>
      <c r="P205" s="367"/>
      <c r="Q205" s="367"/>
      <c r="R205" s="367"/>
      <c r="S205" s="367"/>
      <c r="T205" s="367"/>
      <c r="U205" s="367"/>
      <c r="V205" s="367"/>
      <c r="W205" s="367"/>
      <c r="X205" s="217"/>
    </row>
    <row r="206" spans="1:24">
      <c r="A206" s="223"/>
      <c r="B206" s="223"/>
      <c r="C206" s="223"/>
      <c r="D206" s="223"/>
      <c r="E206" s="223"/>
      <c r="F206" s="223"/>
      <c r="G206" s="223"/>
      <c r="H206" s="223"/>
      <c r="I206" s="223">
        <f>SUM(I201:I205)</f>
        <v>0</v>
      </c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</row>
  </sheetData>
  <sheetProtection algorithmName="SHA-512" hashValue="U39WIcHAxVd+CRdE3uVARY1ZzYr85HytVBR3LtGqp4jK4dxbcL3EbN2StkySykNqp0EQ1HG1Yyhr2kg4/y4zYA==" saltValue="3ejLnlspFtAJD6M5GQNzFw==" spinCount="100000" sheet="1" objects="1" scenarios="1" formatCells="0" formatColumns="0" formatRows="0" selectLockedCells="1"/>
  <mergeCells count="220">
    <mergeCell ref="N18:P18"/>
    <mergeCell ref="V12:V14"/>
    <mergeCell ref="V63:V65"/>
    <mergeCell ref="V80:V82"/>
    <mergeCell ref="N123:N125"/>
    <mergeCell ref="N159:P160"/>
    <mergeCell ref="C155:F155"/>
    <mergeCell ref="C156:F156"/>
    <mergeCell ref="C157:F157"/>
    <mergeCell ref="C158:F158"/>
    <mergeCell ref="C138:F138"/>
    <mergeCell ref="C139:F139"/>
    <mergeCell ref="C140:F140"/>
    <mergeCell ref="C141:J141"/>
    <mergeCell ref="C142:F142"/>
    <mergeCell ref="C143:E143"/>
    <mergeCell ref="C123:F123"/>
    <mergeCell ref="P123:V125"/>
    <mergeCell ref="C107:F107"/>
    <mergeCell ref="C108:F108"/>
    <mergeCell ref="C109:F109"/>
    <mergeCell ref="B89:F89"/>
    <mergeCell ref="B90:F90"/>
    <mergeCell ref="B91:F91"/>
    <mergeCell ref="I199:J199"/>
    <mergeCell ref="I200:J200"/>
    <mergeCell ref="C202:D202"/>
    <mergeCell ref="C203:D203"/>
    <mergeCell ref="C204:D204"/>
    <mergeCell ref="C205:D205"/>
    <mergeCell ref="C199:F199"/>
    <mergeCell ref="G199:H199"/>
    <mergeCell ref="C200:F200"/>
    <mergeCell ref="G200:H200"/>
    <mergeCell ref="C201:D201"/>
    <mergeCell ref="H201:J201"/>
    <mergeCell ref="H202:J202"/>
    <mergeCell ref="H203:J203"/>
    <mergeCell ref="H204:J205"/>
    <mergeCell ref="F201:F205"/>
    <mergeCell ref="G201:G203"/>
    <mergeCell ref="D190:I190"/>
    <mergeCell ref="D191:I191"/>
    <mergeCell ref="C197:F197"/>
    <mergeCell ref="G197:H197"/>
    <mergeCell ref="C198:F198"/>
    <mergeCell ref="G198:H198"/>
    <mergeCell ref="N169:V175"/>
    <mergeCell ref="D176:F176"/>
    <mergeCell ref="N177:V183"/>
    <mergeCell ref="D182:J182"/>
    <mergeCell ref="D183:J185"/>
    <mergeCell ref="N185:V191"/>
    <mergeCell ref="D186:I186"/>
    <mergeCell ref="D187:I187"/>
    <mergeCell ref="D188:I188"/>
    <mergeCell ref="D189:I189"/>
    <mergeCell ref="C196:J196"/>
    <mergeCell ref="I197:J197"/>
    <mergeCell ref="I198:J198"/>
    <mergeCell ref="D161:J161"/>
    <mergeCell ref="N161:V167"/>
    <mergeCell ref="D163:F163"/>
    <mergeCell ref="C144:E144"/>
    <mergeCell ref="G144:H144"/>
    <mergeCell ref="C145:E145"/>
    <mergeCell ref="C146:E146"/>
    <mergeCell ref="C148:E148"/>
    <mergeCell ref="C149:J149"/>
    <mergeCell ref="B130:B153"/>
    <mergeCell ref="C130:F130"/>
    <mergeCell ref="C131:J131"/>
    <mergeCell ref="C133:C134"/>
    <mergeCell ref="D133:E133"/>
    <mergeCell ref="I133:K134"/>
    <mergeCell ref="D134:E134"/>
    <mergeCell ref="C135:J135"/>
    <mergeCell ref="C137:F137"/>
    <mergeCell ref="C150:F150"/>
    <mergeCell ref="C151:F151"/>
    <mergeCell ref="C152:F152"/>
    <mergeCell ref="C153:F153"/>
    <mergeCell ref="B125:B128"/>
    <mergeCell ref="C125:F125"/>
    <mergeCell ref="C126:F126"/>
    <mergeCell ref="C127:F127"/>
    <mergeCell ref="P127:R127"/>
    <mergeCell ref="C128:F128"/>
    <mergeCell ref="C112:F112"/>
    <mergeCell ref="C113:F113"/>
    <mergeCell ref="C114:F114"/>
    <mergeCell ref="B117:J117"/>
    <mergeCell ref="B118:B123"/>
    <mergeCell ref="C118:F118"/>
    <mergeCell ref="C119:F119"/>
    <mergeCell ref="C120:F120"/>
    <mergeCell ref="C121:F121"/>
    <mergeCell ref="C122:F122"/>
    <mergeCell ref="B111:B114"/>
    <mergeCell ref="C111:F111"/>
    <mergeCell ref="B103:B109"/>
    <mergeCell ref="C103:F103"/>
    <mergeCell ref="C104:F104"/>
    <mergeCell ref="C105:F105"/>
    <mergeCell ref="C106:F106"/>
    <mergeCell ref="B110:F110"/>
    <mergeCell ref="B95:F95"/>
    <mergeCell ref="B97:B101"/>
    <mergeCell ref="C97:F97"/>
    <mergeCell ref="C98:F98"/>
    <mergeCell ref="C99:F99"/>
    <mergeCell ref="C100:F100"/>
    <mergeCell ref="C101:F101"/>
    <mergeCell ref="B92:F92"/>
    <mergeCell ref="B93:F93"/>
    <mergeCell ref="C85:F85"/>
    <mergeCell ref="N85:P85"/>
    <mergeCell ref="R85:R86"/>
    <mergeCell ref="T85:T86"/>
    <mergeCell ref="B87:F87"/>
    <mergeCell ref="B88:F88"/>
    <mergeCell ref="N67:P67"/>
    <mergeCell ref="R67:R68"/>
    <mergeCell ref="T67:T68"/>
    <mergeCell ref="B69:B85"/>
    <mergeCell ref="C69:F69"/>
    <mergeCell ref="C70:F70"/>
    <mergeCell ref="C71:F71"/>
    <mergeCell ref="C72:F72"/>
    <mergeCell ref="C73:F73"/>
    <mergeCell ref="C80:F80"/>
    <mergeCell ref="N80:T81"/>
    <mergeCell ref="C81:F81"/>
    <mergeCell ref="C82:F82"/>
    <mergeCell ref="N82:P82"/>
    <mergeCell ref="C83:F83"/>
    <mergeCell ref="R83:R84"/>
    <mergeCell ref="C84:F84"/>
    <mergeCell ref="C74:F74"/>
    <mergeCell ref="C75:F75"/>
    <mergeCell ref="C76:F76"/>
    <mergeCell ref="C77:F77"/>
    <mergeCell ref="C78:F78"/>
    <mergeCell ref="C79:F79"/>
    <mergeCell ref="N63:T63"/>
    <mergeCell ref="C64:F64"/>
    <mergeCell ref="N64:P64"/>
    <mergeCell ref="C65:F65"/>
    <mergeCell ref="R65:R66"/>
    <mergeCell ref="C66:F66"/>
    <mergeCell ref="C58:F58"/>
    <mergeCell ref="C59:F59"/>
    <mergeCell ref="C60:F60"/>
    <mergeCell ref="C61:F61"/>
    <mergeCell ref="C62:F62"/>
    <mergeCell ref="C63:F63"/>
    <mergeCell ref="B50:J50"/>
    <mergeCell ref="B51:J51"/>
    <mergeCell ref="B52:B67"/>
    <mergeCell ref="C52:F52"/>
    <mergeCell ref="C53:F53"/>
    <mergeCell ref="C54:F54"/>
    <mergeCell ref="C55:F55"/>
    <mergeCell ref="C56:F56"/>
    <mergeCell ref="C57:F57"/>
    <mergeCell ref="C67:F67"/>
    <mergeCell ref="C48:F48"/>
    <mergeCell ref="B34:J34"/>
    <mergeCell ref="B35:B49"/>
    <mergeCell ref="C35:F35"/>
    <mergeCell ref="C36:F36"/>
    <mergeCell ref="C37:F37"/>
    <mergeCell ref="C38:F38"/>
    <mergeCell ref="C39:F39"/>
    <mergeCell ref="C40:F40"/>
    <mergeCell ref="C41:F41"/>
    <mergeCell ref="C42:F42"/>
    <mergeCell ref="C49:F49"/>
    <mergeCell ref="C33:F33"/>
    <mergeCell ref="B22:J22"/>
    <mergeCell ref="N22:P23"/>
    <mergeCell ref="R22:R24"/>
    <mergeCell ref="C43:F43"/>
    <mergeCell ref="C44:F44"/>
    <mergeCell ref="C45:F45"/>
    <mergeCell ref="C46:F46"/>
    <mergeCell ref="C47:F47"/>
    <mergeCell ref="B12:B21"/>
    <mergeCell ref="C12:F12"/>
    <mergeCell ref="N12:T14"/>
    <mergeCell ref="C13:F13"/>
    <mergeCell ref="C14:F14"/>
    <mergeCell ref="A1:X2"/>
    <mergeCell ref="T22:T24"/>
    <mergeCell ref="B23:B33"/>
    <mergeCell ref="C23:F23"/>
    <mergeCell ref="C24:F24"/>
    <mergeCell ref="C25:F25"/>
    <mergeCell ref="C26:F26"/>
    <mergeCell ref="C27:F27"/>
    <mergeCell ref="C18:F18"/>
    <mergeCell ref="C19:F19"/>
    <mergeCell ref="N19:P19"/>
    <mergeCell ref="C20:F20"/>
    <mergeCell ref="R20:R21"/>
    <mergeCell ref="C21:F21"/>
    <mergeCell ref="C28:F28"/>
    <mergeCell ref="C29:F29"/>
    <mergeCell ref="C30:F30"/>
    <mergeCell ref="C31:F31"/>
    <mergeCell ref="C32:F32"/>
    <mergeCell ref="C15:F15"/>
    <mergeCell ref="N15:P15"/>
    <mergeCell ref="C16:F16"/>
    <mergeCell ref="N16:P16"/>
    <mergeCell ref="C17:F17"/>
    <mergeCell ref="N17:P17"/>
    <mergeCell ref="R4:T6"/>
    <mergeCell ref="D8:J8"/>
    <mergeCell ref="D10:F10"/>
  </mergeCells>
  <dataValidations count="2">
    <dataValidation type="list" allowBlank="1" showInputMessage="1" showErrorMessage="1" sqref="L87">
      <formula1>$M$103:$M$107</formula1>
    </dataValidation>
    <dataValidation type="list" allowBlank="1" showInputMessage="1" showErrorMessage="1" sqref="E201:E205">
      <formula1>$I$197:$I$198</formula1>
    </dataValidation>
  </dataValidations>
  <printOptions horizontalCentered="1"/>
  <pageMargins left="0.39370078740157483" right="0.39370078740157483" top="0.39370078740157483" bottom="0.78740157480314965" header="0.31496062992125984" footer="0.39370078740157483"/>
  <pageSetup scale="60" orientation="landscape" horizontalDpi="0" verticalDpi="0" r:id="rId1"/>
  <headerFooter scaleWithDoc="0" alignWithMargins="0">
    <oddFooter>&amp;L&amp;A&amp;CPágina &amp;P de &amp;N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AH1048576"/>
  <sheetViews>
    <sheetView showGridLines="0" zoomScaleNormal="100" workbookViewId="0">
      <selection activeCell="N59" sqref="N59"/>
    </sheetView>
  </sheetViews>
  <sheetFormatPr baseColWidth="10" defaultColWidth="8.42578125" defaultRowHeight="12.75" zeroHeight="1"/>
  <cols>
    <col min="1" max="1" width="1.7109375" customWidth="1"/>
    <col min="2" max="2" width="4.7109375" customWidth="1"/>
    <col min="3" max="28" width="3.7109375" customWidth="1"/>
    <col min="29" max="29" width="3" bestFit="1" customWidth="1"/>
    <col min="30" max="30" width="5.5703125" customWidth="1"/>
    <col min="31" max="34" width="3.7109375" customWidth="1"/>
  </cols>
  <sheetData>
    <row r="1" spans="2:34" ht="6" customHeight="1" thickBot="1"/>
    <row r="2" spans="2:34" ht="12.75" customHeight="1">
      <c r="B2" s="320"/>
      <c r="C2" s="321"/>
      <c r="D2" s="321"/>
      <c r="E2" s="321"/>
      <c r="F2" s="321"/>
      <c r="G2" s="322"/>
      <c r="H2" s="1185" t="s">
        <v>1100</v>
      </c>
      <c r="I2" s="1186"/>
      <c r="J2" s="1186"/>
      <c r="K2" s="1186"/>
      <c r="L2" s="1186"/>
      <c r="M2" s="1186"/>
      <c r="N2" s="1186"/>
      <c r="O2" s="1186"/>
      <c r="P2" s="1186"/>
      <c r="Q2" s="1186"/>
      <c r="R2" s="1186"/>
      <c r="S2" s="1186"/>
      <c r="T2" s="1186"/>
      <c r="U2" s="1186"/>
      <c r="V2" s="1187"/>
      <c r="W2" s="1159" t="s">
        <v>28</v>
      </c>
      <c r="X2" s="1160"/>
      <c r="Y2" s="1160"/>
      <c r="Z2" s="1160"/>
      <c r="AA2" s="1160"/>
      <c r="AB2" s="1161"/>
      <c r="AC2" s="1165">
        <v>210</v>
      </c>
      <c r="AD2" s="1166"/>
      <c r="AE2" s="1166"/>
      <c r="AF2" s="1166"/>
      <c r="AG2" s="1166"/>
      <c r="AH2" s="1167"/>
    </row>
    <row r="3" spans="2:34" ht="37.5" customHeight="1">
      <c r="B3" s="374"/>
      <c r="C3" s="375"/>
      <c r="D3" s="375"/>
      <c r="E3" s="375"/>
      <c r="F3" s="375"/>
      <c r="G3" s="376"/>
      <c r="H3" s="1188"/>
      <c r="I3" s="1189"/>
      <c r="J3" s="1189"/>
      <c r="K3" s="1189"/>
      <c r="L3" s="1189"/>
      <c r="M3" s="1189"/>
      <c r="N3" s="1189"/>
      <c r="O3" s="1189"/>
      <c r="P3" s="1189"/>
      <c r="Q3" s="1189"/>
      <c r="R3" s="1189"/>
      <c r="S3" s="1189"/>
      <c r="T3" s="1189"/>
      <c r="U3" s="1189"/>
      <c r="V3" s="1190"/>
      <c r="W3" s="1162"/>
      <c r="X3" s="1163"/>
      <c r="Y3" s="1163"/>
      <c r="Z3" s="1163"/>
      <c r="AA3" s="1163"/>
      <c r="AB3" s="1164"/>
      <c r="AC3" s="1168"/>
      <c r="AD3" s="1169"/>
      <c r="AE3" s="1169"/>
      <c r="AF3" s="1169"/>
      <c r="AG3" s="1169"/>
      <c r="AH3" s="1170"/>
    </row>
    <row r="4" spans="2:34">
      <c r="B4" s="377" t="s">
        <v>29</v>
      </c>
      <c r="C4" s="182"/>
      <c r="D4" s="182"/>
      <c r="E4" s="1171">
        <f>+Datos!D10</f>
        <v>2025</v>
      </c>
      <c r="F4" s="1172"/>
      <c r="G4" s="378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3"/>
      <c r="S4" s="382"/>
      <c r="T4" s="383"/>
      <c r="U4" s="1173" t="s">
        <v>129</v>
      </c>
      <c r="V4" s="1174"/>
      <c r="W4" s="1174"/>
      <c r="X4" s="1174"/>
      <c r="Y4" s="1174"/>
      <c r="Z4" s="1174"/>
      <c r="AA4" s="1174"/>
      <c r="AB4" s="1174"/>
      <c r="AC4" s="1174"/>
      <c r="AD4" s="1174"/>
      <c r="AE4" s="1174"/>
      <c r="AF4" s="1174"/>
      <c r="AG4" s="383"/>
      <c r="AH4" s="384"/>
    </row>
    <row r="5" spans="2:34" ht="15">
      <c r="B5" s="379"/>
      <c r="C5" s="380"/>
      <c r="D5" s="380"/>
      <c r="E5" s="1176"/>
      <c r="F5" s="1176"/>
      <c r="G5" s="1176"/>
      <c r="H5" s="1176"/>
      <c r="I5" s="1176"/>
      <c r="J5" s="1176"/>
      <c r="K5" s="1176"/>
      <c r="L5" s="1176"/>
      <c r="M5" s="1176"/>
      <c r="N5" s="1176"/>
      <c r="O5" s="1176"/>
      <c r="P5" s="1176"/>
      <c r="Q5" s="1176"/>
      <c r="R5" s="381"/>
      <c r="S5" s="379"/>
      <c r="T5" s="380"/>
      <c r="U5" s="1175"/>
      <c r="V5" s="1175"/>
      <c r="W5" s="1175"/>
      <c r="X5" s="1175"/>
      <c r="Y5" s="1175"/>
      <c r="Z5" s="1175"/>
      <c r="AA5" s="1175"/>
      <c r="AB5" s="1175"/>
      <c r="AC5" s="1175"/>
      <c r="AD5" s="1175"/>
      <c r="AE5" s="1175"/>
      <c r="AF5" s="1175"/>
      <c r="AG5" s="380"/>
      <c r="AH5" s="381"/>
    </row>
    <row r="6" spans="2:34" ht="12.75" customHeight="1">
      <c r="B6" s="1132" t="s">
        <v>36</v>
      </c>
      <c r="C6" s="526" t="s">
        <v>30</v>
      </c>
      <c r="D6" s="389"/>
      <c r="E6" s="182"/>
      <c r="F6" s="182"/>
      <c r="G6" s="182"/>
      <c r="H6" s="182"/>
      <c r="I6" s="182"/>
      <c r="J6" s="182"/>
      <c r="K6" s="182"/>
      <c r="L6" s="1220" t="s">
        <v>943</v>
      </c>
      <c r="M6" s="1221"/>
      <c r="N6" s="527" t="s">
        <v>32</v>
      </c>
      <c r="O6" s="182"/>
      <c r="P6" s="182"/>
      <c r="Q6" s="182"/>
      <c r="R6" s="182"/>
      <c r="S6" s="527" t="s">
        <v>33</v>
      </c>
      <c r="T6" s="182"/>
      <c r="U6" s="182"/>
      <c r="V6" s="182"/>
      <c r="W6" s="390"/>
      <c r="X6" s="528" t="s">
        <v>34</v>
      </c>
      <c r="Y6" s="391"/>
      <c r="Z6" s="182"/>
      <c r="AA6" s="182"/>
      <c r="AB6" s="182"/>
      <c r="AC6" s="390"/>
      <c r="AD6" s="528" t="s">
        <v>35</v>
      </c>
      <c r="AE6" s="182"/>
      <c r="AF6" s="182"/>
      <c r="AG6" s="182"/>
      <c r="AH6" s="183"/>
    </row>
    <row r="7" spans="2:34" ht="15.75">
      <c r="B7" s="1133"/>
      <c r="C7" s="1135" t="str">
        <f>+'Anexo Contador'!D6</f>
        <v xml:space="preserve"> </v>
      </c>
      <c r="D7" s="1135"/>
      <c r="E7" s="1135"/>
      <c r="F7" s="1135"/>
      <c r="G7" s="1135"/>
      <c r="H7" s="1135"/>
      <c r="I7" s="1135"/>
      <c r="J7" s="1135"/>
      <c r="K7" s="1136"/>
      <c r="L7" s="98" t="s">
        <v>31</v>
      </c>
      <c r="M7" s="112" t="str">
        <f>+'Anexo Contador'!E6</f>
        <v xml:space="preserve"> </v>
      </c>
      <c r="N7" s="1137" t="str">
        <f>+'Anexo Contador'!D4</f>
        <v xml:space="preserve"> </v>
      </c>
      <c r="O7" s="1138"/>
      <c r="P7" s="1138"/>
      <c r="Q7" s="1138"/>
      <c r="R7" s="1139"/>
      <c r="S7" s="1140" t="str">
        <f>+'Anexo Contador'!F4</f>
        <v xml:space="preserve"> </v>
      </c>
      <c r="T7" s="1141"/>
      <c r="U7" s="1141"/>
      <c r="V7" s="1141"/>
      <c r="W7" s="1141"/>
      <c r="X7" s="1142" t="str">
        <f>+'Anexo Contador'!H4</f>
        <v xml:space="preserve"> </v>
      </c>
      <c r="Y7" s="1143"/>
      <c r="Z7" s="1143"/>
      <c r="AA7" s="1143"/>
      <c r="AB7" s="1143"/>
      <c r="AC7" s="1144"/>
      <c r="AD7" s="1142" t="str">
        <f>+'Anexo Contador'!J4</f>
        <v xml:space="preserve"> </v>
      </c>
      <c r="AE7" s="1143"/>
      <c r="AF7" s="1143"/>
      <c r="AG7" s="1143"/>
      <c r="AH7" s="1144"/>
    </row>
    <row r="8" spans="2:34" ht="15" customHeight="1">
      <c r="B8" s="113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529" t="s">
        <v>148</v>
      </c>
      <c r="AA8" s="113"/>
      <c r="AB8" s="113"/>
      <c r="AC8" s="97"/>
      <c r="AD8" s="113"/>
      <c r="AE8" s="113"/>
      <c r="AF8" s="114"/>
      <c r="AG8" s="1145" t="str">
        <f>+Datos!D19</f>
        <v xml:space="preserve"> </v>
      </c>
      <c r="AH8" s="1146"/>
    </row>
    <row r="9" spans="2:34" ht="16.5" customHeight="1">
      <c r="B9" s="1133"/>
      <c r="C9" s="1147" t="s">
        <v>944</v>
      </c>
      <c r="D9" s="1148"/>
      <c r="E9" s="1148"/>
      <c r="F9" s="1148"/>
      <c r="G9" s="1148"/>
      <c r="H9" s="1148"/>
      <c r="I9" s="1148"/>
      <c r="J9" s="1148"/>
      <c r="K9" s="1149"/>
      <c r="L9" s="1150" t="str">
        <f>+Datos!D20</f>
        <v xml:space="preserve"> </v>
      </c>
      <c r="M9" s="1151"/>
      <c r="N9" s="532" t="s">
        <v>21</v>
      </c>
      <c r="O9" s="531"/>
      <c r="P9" s="182"/>
      <c r="Q9" s="182"/>
      <c r="R9" s="182"/>
      <c r="S9" s="183"/>
      <c r="T9" s="1183" t="s">
        <v>843</v>
      </c>
      <c r="U9" s="1184"/>
      <c r="V9" s="385">
        <f>+Datos!F22</f>
        <v>0</v>
      </c>
      <c r="W9" s="1177" t="s">
        <v>844</v>
      </c>
      <c r="X9" s="1178"/>
      <c r="Y9" s="1178"/>
      <c r="Z9" s="1178"/>
      <c r="AA9" s="1178"/>
      <c r="AB9" s="1179"/>
      <c r="AC9" s="1180" t="str">
        <f>+Datos!L22</f>
        <v xml:space="preserve"> </v>
      </c>
      <c r="AD9" s="1181"/>
      <c r="AE9" s="1181"/>
      <c r="AF9" s="1181"/>
      <c r="AG9" s="1181"/>
      <c r="AH9" s="1182"/>
    </row>
    <row r="10" spans="2:34">
      <c r="B10" s="1134"/>
      <c r="C10" s="1147" t="s">
        <v>945</v>
      </c>
      <c r="D10" s="1148"/>
      <c r="E10" s="1148"/>
      <c r="F10" s="1148"/>
      <c r="G10" s="1148"/>
      <c r="H10" s="1148"/>
      <c r="I10" s="1148"/>
      <c r="J10" s="1148"/>
      <c r="K10" s="1149"/>
      <c r="L10" s="1150" t="str">
        <f>+Datos!D23</f>
        <v xml:space="preserve"> </v>
      </c>
      <c r="M10" s="1151"/>
      <c r="N10" s="533" t="s">
        <v>1088</v>
      </c>
      <c r="O10" s="386"/>
      <c r="P10" s="386"/>
      <c r="Q10" s="386"/>
      <c r="R10" s="386"/>
      <c r="S10" s="386"/>
      <c r="T10" s="387"/>
      <c r="U10" s="387"/>
      <c r="V10" s="361"/>
      <c r="W10" s="388"/>
      <c r="X10" s="388"/>
      <c r="Y10" s="388"/>
      <c r="Z10" s="388"/>
      <c r="AA10" s="388"/>
      <c r="AB10" s="388"/>
      <c r="AC10" s="1152">
        <f>+Datos!L23</f>
        <v>0</v>
      </c>
      <c r="AD10" s="1153"/>
      <c r="AE10" s="1153"/>
      <c r="AF10" s="1153"/>
      <c r="AG10" s="1153"/>
      <c r="AH10" s="1154"/>
    </row>
    <row r="11" spans="2:34" ht="22.5" customHeight="1">
      <c r="B11" s="1126" t="s">
        <v>38</v>
      </c>
      <c r="C11" s="1127"/>
      <c r="D11" s="1127"/>
      <c r="E11" s="1127"/>
      <c r="F11" s="1128"/>
      <c r="G11" s="1129" t="s">
        <v>4</v>
      </c>
      <c r="H11" s="1127"/>
      <c r="I11" s="1127"/>
      <c r="J11" s="1127"/>
      <c r="K11" s="1128"/>
      <c r="L11" s="530">
        <v>29</v>
      </c>
      <c r="M11" s="1130">
        <f>+'Anexo Contador'!J19</f>
        <v>0</v>
      </c>
      <c r="N11" s="1131"/>
      <c r="O11" s="1131"/>
      <c r="P11" s="1131"/>
      <c r="Q11" s="1129" t="s">
        <v>175</v>
      </c>
      <c r="R11" s="1127"/>
      <c r="S11" s="1127"/>
      <c r="T11" s="1128"/>
      <c r="U11" s="530">
        <v>30</v>
      </c>
      <c r="V11" s="1130">
        <f>+'Anexo Contador'!J20</f>
        <v>0</v>
      </c>
      <c r="W11" s="1131"/>
      <c r="X11" s="1131"/>
      <c r="Y11" s="1155"/>
      <c r="Z11" s="1156" t="s">
        <v>946</v>
      </c>
      <c r="AA11" s="1157"/>
      <c r="AB11" s="1157"/>
      <c r="AC11" s="1158"/>
      <c r="AD11" s="530">
        <v>31</v>
      </c>
      <c r="AE11" s="1130">
        <f>+'Anexo Contador'!J21</f>
        <v>0</v>
      </c>
      <c r="AF11" s="1131"/>
      <c r="AG11" s="1131"/>
      <c r="AH11" s="1155"/>
    </row>
    <row r="12" spans="2:34" ht="38.25" customHeight="1">
      <c r="B12" s="1044" t="s">
        <v>954</v>
      </c>
      <c r="C12" s="1077" t="s">
        <v>964</v>
      </c>
      <c r="D12" s="1078"/>
      <c r="E12" s="1078"/>
      <c r="F12" s="1078"/>
      <c r="G12" s="1078"/>
      <c r="H12" s="1078"/>
      <c r="I12" s="1078"/>
      <c r="J12" s="1079"/>
      <c r="K12" s="1074" t="s">
        <v>229</v>
      </c>
      <c r="L12" s="1075"/>
      <c r="M12" s="1075"/>
      <c r="N12" s="1075"/>
      <c r="O12" s="1075"/>
      <c r="P12" s="1076"/>
      <c r="Q12" s="1105" t="s">
        <v>1043</v>
      </c>
      <c r="R12" s="1106"/>
      <c r="S12" s="1106"/>
      <c r="T12" s="1106"/>
      <c r="U12" s="1106"/>
      <c r="V12" s="1107"/>
      <c r="W12" s="1077" t="s">
        <v>254</v>
      </c>
      <c r="X12" s="1078"/>
      <c r="Y12" s="1078"/>
      <c r="Z12" s="1078"/>
      <c r="AA12" s="1078"/>
      <c r="AB12" s="1079"/>
      <c r="AC12" s="1077" t="s">
        <v>256</v>
      </c>
      <c r="AD12" s="1078"/>
      <c r="AE12" s="1078"/>
      <c r="AF12" s="1078"/>
      <c r="AG12" s="1078"/>
      <c r="AH12" s="1079"/>
    </row>
    <row r="13" spans="2:34">
      <c r="B13" s="1045"/>
      <c r="C13" s="1080" t="s">
        <v>932</v>
      </c>
      <c r="D13" s="1081"/>
      <c r="E13" s="1081"/>
      <c r="F13" s="1081"/>
      <c r="G13" s="1081"/>
      <c r="H13" s="1081"/>
      <c r="I13" s="1081"/>
      <c r="J13" s="1081"/>
      <c r="K13" s="188">
        <v>32</v>
      </c>
      <c r="L13" s="1066">
        <f>+'Anexo Contador'!J23</f>
        <v>0</v>
      </c>
      <c r="M13" s="1066"/>
      <c r="N13" s="1066"/>
      <c r="O13" s="1066"/>
      <c r="P13" s="1067"/>
      <c r="Q13" s="188">
        <v>43</v>
      </c>
      <c r="R13" s="1066">
        <f>+'Anexo Contador'!J35</f>
        <v>0</v>
      </c>
      <c r="S13" s="1066"/>
      <c r="T13" s="1066"/>
      <c r="U13" s="1066"/>
      <c r="V13" s="1067"/>
      <c r="W13" s="188">
        <v>58</v>
      </c>
      <c r="X13" s="1066">
        <f>+'Anexo Contador'!J52</f>
        <v>0</v>
      </c>
      <c r="Y13" s="1066"/>
      <c r="Z13" s="1066"/>
      <c r="AA13" s="1066"/>
      <c r="AB13" s="1067"/>
      <c r="AC13" s="392">
        <v>74</v>
      </c>
      <c r="AD13" s="1065">
        <f>+'Anexo Contador'!J69</f>
        <v>0</v>
      </c>
      <c r="AE13" s="1066"/>
      <c r="AF13" s="1066"/>
      <c r="AG13" s="1066"/>
      <c r="AH13" s="1067"/>
    </row>
    <row r="14" spans="2:34" ht="13.5" customHeight="1">
      <c r="B14" s="1045"/>
      <c r="C14" s="1082" t="s">
        <v>257</v>
      </c>
      <c r="D14" s="1083"/>
      <c r="E14" s="1083"/>
      <c r="F14" s="1083"/>
      <c r="G14" s="1083"/>
      <c r="H14" s="1083"/>
      <c r="I14" s="1083"/>
      <c r="J14" s="1083"/>
      <c r="K14" s="1222"/>
      <c r="L14" s="1223"/>
      <c r="M14" s="1223"/>
      <c r="N14" s="1223"/>
      <c r="O14" s="1223"/>
      <c r="P14" s="1223"/>
      <c r="Q14" s="1223"/>
      <c r="R14" s="1223"/>
      <c r="S14" s="1223"/>
      <c r="T14" s="1223"/>
      <c r="U14" s="1223"/>
      <c r="V14" s="1223"/>
      <c r="W14" s="1223"/>
      <c r="X14" s="1223"/>
      <c r="Y14" s="1223"/>
      <c r="Z14" s="1223"/>
      <c r="AA14" s="1223"/>
      <c r="AB14" s="1224"/>
      <c r="AC14" s="393">
        <v>75</v>
      </c>
      <c r="AD14" s="1053">
        <f>+'Anexo Contador'!J70</f>
        <v>0</v>
      </c>
      <c r="AE14" s="1054"/>
      <c r="AF14" s="1054"/>
      <c r="AG14" s="1054"/>
      <c r="AH14" s="1055"/>
    </row>
    <row r="15" spans="2:34" ht="15" customHeight="1">
      <c r="B15" s="1045"/>
      <c r="C15" s="1082" t="s">
        <v>146</v>
      </c>
      <c r="D15" s="1083"/>
      <c r="E15" s="1083"/>
      <c r="F15" s="1083"/>
      <c r="G15" s="1083"/>
      <c r="H15" s="1083"/>
      <c r="I15" s="1083"/>
      <c r="J15" s="1083"/>
      <c r="K15" s="271">
        <v>33</v>
      </c>
      <c r="L15" s="1054">
        <f>+'Anexo Contador'!J24</f>
        <v>0</v>
      </c>
      <c r="M15" s="1054"/>
      <c r="N15" s="1054"/>
      <c r="O15" s="1054"/>
      <c r="P15" s="1055"/>
      <c r="Q15" s="271">
        <v>44</v>
      </c>
      <c r="R15" s="1054">
        <f>+'Anexo Contador'!J36</f>
        <v>0</v>
      </c>
      <c r="S15" s="1054"/>
      <c r="T15" s="1054"/>
      <c r="U15" s="1054"/>
      <c r="V15" s="1055"/>
      <c r="W15" s="271">
        <v>59</v>
      </c>
      <c r="X15" s="1054">
        <f>+'Anexo Contador'!J53</f>
        <v>0</v>
      </c>
      <c r="Y15" s="1054"/>
      <c r="Z15" s="1054"/>
      <c r="AA15" s="1054"/>
      <c r="AB15" s="1055"/>
      <c r="AC15" s="393">
        <v>76</v>
      </c>
      <c r="AD15" s="1053">
        <f>+'Anexo Contador'!J71</f>
        <v>0</v>
      </c>
      <c r="AE15" s="1054"/>
      <c r="AF15" s="1054"/>
      <c r="AG15" s="1054"/>
      <c r="AH15" s="1055"/>
    </row>
    <row r="16" spans="2:34" ht="13.5" customHeight="1">
      <c r="B16" s="1045"/>
      <c r="C16" s="1082" t="s">
        <v>821</v>
      </c>
      <c r="D16" s="1083"/>
      <c r="E16" s="1083"/>
      <c r="F16" s="1083"/>
      <c r="G16" s="1083"/>
      <c r="H16" s="1083"/>
      <c r="I16" s="1083"/>
      <c r="J16" s="1083"/>
      <c r="K16" s="1222"/>
      <c r="L16" s="1223"/>
      <c r="M16" s="1223"/>
      <c r="N16" s="1223"/>
      <c r="O16" s="1223"/>
      <c r="P16" s="1224"/>
      <c r="Q16" s="271">
        <v>45</v>
      </c>
      <c r="R16" s="1054">
        <f>+'Anexo Contador'!J37</f>
        <v>0</v>
      </c>
      <c r="S16" s="1054"/>
      <c r="T16" s="1054"/>
      <c r="U16" s="1054"/>
      <c r="V16" s="1055"/>
      <c r="W16" s="271">
        <v>60</v>
      </c>
      <c r="X16" s="1054">
        <f>+'Anexo Contador'!J54</f>
        <v>0</v>
      </c>
      <c r="Y16" s="1054"/>
      <c r="Z16" s="1054"/>
      <c r="AA16" s="1054"/>
      <c r="AB16" s="1055"/>
      <c r="AC16" s="393">
        <v>77</v>
      </c>
      <c r="AD16" s="1053">
        <f>+'Anexo Contador'!J72</f>
        <v>0</v>
      </c>
      <c r="AE16" s="1054"/>
      <c r="AF16" s="1054"/>
      <c r="AG16" s="1054"/>
      <c r="AH16" s="1055"/>
    </row>
    <row r="17" spans="2:34">
      <c r="B17" s="1045"/>
      <c r="C17" s="1091" t="s">
        <v>228</v>
      </c>
      <c r="D17" s="1092"/>
      <c r="E17" s="1092"/>
      <c r="F17" s="1092"/>
      <c r="G17" s="1092"/>
      <c r="H17" s="1092"/>
      <c r="I17" s="1092"/>
      <c r="J17" s="1092"/>
      <c r="K17" s="258">
        <v>34</v>
      </c>
      <c r="L17" s="1097">
        <f>+'Anexo Contador'!J25</f>
        <v>0</v>
      </c>
      <c r="M17" s="1097"/>
      <c r="N17" s="1097"/>
      <c r="O17" s="1097"/>
      <c r="P17" s="1098"/>
      <c r="Q17" s="258">
        <v>46</v>
      </c>
      <c r="R17" s="1097">
        <f>+'Anexo Contador'!J38</f>
        <v>0</v>
      </c>
      <c r="S17" s="1097"/>
      <c r="T17" s="1097"/>
      <c r="U17" s="1097"/>
      <c r="V17" s="1098"/>
      <c r="W17" s="258">
        <v>61</v>
      </c>
      <c r="X17" s="1097">
        <f>+'Anexo Contador'!J55</f>
        <v>0</v>
      </c>
      <c r="Y17" s="1097"/>
      <c r="Z17" s="1097"/>
      <c r="AA17" s="1097"/>
      <c r="AB17" s="1098"/>
      <c r="AC17" s="397">
        <v>78</v>
      </c>
      <c r="AD17" s="1108">
        <f>+'Anexo Contador'!J73</f>
        <v>0</v>
      </c>
      <c r="AE17" s="1097"/>
      <c r="AF17" s="1097"/>
      <c r="AG17" s="1097"/>
      <c r="AH17" s="1098"/>
    </row>
    <row r="18" spans="2:34">
      <c r="B18" s="1045"/>
      <c r="C18" s="1093" t="s">
        <v>947</v>
      </c>
      <c r="D18" s="1083"/>
      <c r="E18" s="1083"/>
      <c r="F18" s="1083"/>
      <c r="G18" s="1083"/>
      <c r="H18" s="1083"/>
      <c r="I18" s="1083"/>
      <c r="J18" s="1083"/>
      <c r="K18" s="1225"/>
      <c r="L18" s="1226"/>
      <c r="M18" s="1226"/>
      <c r="N18" s="1226"/>
      <c r="O18" s="1226"/>
      <c r="P18" s="1226"/>
      <c r="Q18" s="1226"/>
      <c r="R18" s="1226"/>
      <c r="S18" s="1226"/>
      <c r="T18" s="1226"/>
      <c r="U18" s="1226"/>
      <c r="V18" s="1227"/>
      <c r="W18" s="272">
        <v>62</v>
      </c>
      <c r="X18" s="1057">
        <f>+'Anexo Contador'!J56</f>
        <v>0</v>
      </c>
      <c r="Y18" s="1057"/>
      <c r="Z18" s="1057"/>
      <c r="AA18" s="1057"/>
      <c r="AB18" s="1058"/>
      <c r="AC18" s="398">
        <v>79</v>
      </c>
      <c r="AD18" s="1056">
        <f>+'Anexo Contador'!J74</f>
        <v>0</v>
      </c>
      <c r="AE18" s="1057"/>
      <c r="AF18" s="1057"/>
      <c r="AG18" s="1057"/>
      <c r="AH18" s="1058"/>
    </row>
    <row r="19" spans="2:34">
      <c r="B19" s="1045"/>
      <c r="C19" s="1094" t="s">
        <v>948</v>
      </c>
      <c r="D19" s="1047" t="s">
        <v>926</v>
      </c>
      <c r="E19" s="1048"/>
      <c r="F19" s="1048"/>
      <c r="G19" s="1048"/>
      <c r="H19" s="1048"/>
      <c r="I19" s="1048"/>
      <c r="J19" s="1049"/>
      <c r="K19" s="188">
        <v>35</v>
      </c>
      <c r="L19" s="1054">
        <f>+'Anexo Contador'!J26</f>
        <v>0</v>
      </c>
      <c r="M19" s="1054"/>
      <c r="N19" s="1054"/>
      <c r="O19" s="1054"/>
      <c r="P19" s="1055"/>
      <c r="Q19" s="323">
        <v>47</v>
      </c>
      <c r="R19" s="1065">
        <f>+'Anexo Contador'!J39</f>
        <v>0</v>
      </c>
      <c r="S19" s="1066"/>
      <c r="T19" s="1066"/>
      <c r="U19" s="1066"/>
      <c r="V19" s="1067"/>
      <c r="W19" s="188">
        <v>63</v>
      </c>
      <c r="X19" s="1065">
        <f>+'Anexo Contador'!J57</f>
        <v>0</v>
      </c>
      <c r="Y19" s="1066"/>
      <c r="Z19" s="1066"/>
      <c r="AA19" s="1066"/>
      <c r="AB19" s="1067"/>
      <c r="AC19" s="188">
        <v>80</v>
      </c>
      <c r="AD19" s="1065">
        <f>+'Anexo Contador'!J75</f>
        <v>0</v>
      </c>
      <c r="AE19" s="1066"/>
      <c r="AF19" s="1066"/>
      <c r="AG19" s="1066"/>
      <c r="AH19" s="1067"/>
    </row>
    <row r="20" spans="2:34">
      <c r="B20" s="1045"/>
      <c r="C20" s="1095"/>
      <c r="D20" s="1082" t="s">
        <v>927</v>
      </c>
      <c r="E20" s="1083"/>
      <c r="F20" s="1083"/>
      <c r="G20" s="1083"/>
      <c r="H20" s="1083"/>
      <c r="I20" s="1083"/>
      <c r="J20" s="1084"/>
      <c r="K20" s="271">
        <v>36</v>
      </c>
      <c r="L20" s="1054">
        <f>+'Anexo Contador'!J27</f>
        <v>0</v>
      </c>
      <c r="M20" s="1054"/>
      <c r="N20" s="1054"/>
      <c r="O20" s="1054"/>
      <c r="P20" s="1055"/>
      <c r="Q20" s="323">
        <v>48</v>
      </c>
      <c r="R20" s="1053">
        <f>+'Anexo Contador'!J40</f>
        <v>0</v>
      </c>
      <c r="S20" s="1054"/>
      <c r="T20" s="1054"/>
      <c r="U20" s="1054"/>
      <c r="V20" s="1055"/>
      <c r="W20" s="271">
        <v>64</v>
      </c>
      <c r="X20" s="1053">
        <f>+'Anexo Contador'!J58</f>
        <v>0</v>
      </c>
      <c r="Y20" s="1054"/>
      <c r="Z20" s="1054"/>
      <c r="AA20" s="1054"/>
      <c r="AB20" s="1055"/>
      <c r="AC20" s="271">
        <v>81</v>
      </c>
      <c r="AD20" s="1053">
        <f>+'Anexo Contador'!J76</f>
        <v>0</v>
      </c>
      <c r="AE20" s="1054"/>
      <c r="AF20" s="1054"/>
      <c r="AG20" s="1054"/>
      <c r="AH20" s="1055"/>
    </row>
    <row r="21" spans="2:34">
      <c r="B21" s="1045"/>
      <c r="C21" s="1096"/>
      <c r="D21" s="1085" t="s">
        <v>914</v>
      </c>
      <c r="E21" s="1086"/>
      <c r="F21" s="1086"/>
      <c r="G21" s="1086"/>
      <c r="H21" s="1086"/>
      <c r="I21" s="1086"/>
      <c r="J21" s="1087"/>
      <c r="K21" s="273">
        <v>37</v>
      </c>
      <c r="L21" s="1097">
        <f>+'Anexo Contador'!J28</f>
        <v>0</v>
      </c>
      <c r="M21" s="1097"/>
      <c r="N21" s="1097"/>
      <c r="O21" s="1097"/>
      <c r="P21" s="1098"/>
      <c r="Q21" s="270">
        <v>49</v>
      </c>
      <c r="R21" s="1068">
        <f>+'Anexo Contador'!J41</f>
        <v>0</v>
      </c>
      <c r="S21" s="1069"/>
      <c r="T21" s="1069"/>
      <c r="U21" s="1069"/>
      <c r="V21" s="1070"/>
      <c r="W21" s="273">
        <v>65</v>
      </c>
      <c r="X21" s="1068">
        <f>+'Anexo Contador'!J59</f>
        <v>0</v>
      </c>
      <c r="Y21" s="1069"/>
      <c r="Z21" s="1069"/>
      <c r="AA21" s="1069"/>
      <c r="AB21" s="1070"/>
      <c r="AC21" s="273">
        <v>82</v>
      </c>
      <c r="AD21" s="1068">
        <f>+'Anexo Contador'!J77</f>
        <v>0</v>
      </c>
      <c r="AE21" s="1069"/>
      <c r="AF21" s="1069"/>
      <c r="AG21" s="1069"/>
      <c r="AH21" s="1070"/>
    </row>
    <row r="22" spans="2:34" ht="13.5" customHeight="1">
      <c r="B22" s="1045"/>
      <c r="C22" s="1088" t="s">
        <v>1089</v>
      </c>
      <c r="D22" s="1047" t="s">
        <v>907</v>
      </c>
      <c r="E22" s="1048"/>
      <c r="F22" s="1048"/>
      <c r="G22" s="1048"/>
      <c r="H22" s="1048"/>
      <c r="I22" s="1048"/>
      <c r="J22" s="1049"/>
      <c r="K22" s="188">
        <v>38</v>
      </c>
      <c r="L22" s="1065">
        <f>+'Anexo Contador'!J29</f>
        <v>0</v>
      </c>
      <c r="M22" s="1066"/>
      <c r="N22" s="1066"/>
      <c r="O22" s="1066"/>
      <c r="P22" s="1067"/>
      <c r="Q22" s="188">
        <v>50</v>
      </c>
      <c r="R22" s="1065">
        <f>+'Anexo Contador'!J42</f>
        <v>0</v>
      </c>
      <c r="S22" s="1066"/>
      <c r="T22" s="1066"/>
      <c r="U22" s="1066"/>
      <c r="V22" s="1067"/>
      <c r="W22" s="188">
        <v>66</v>
      </c>
      <c r="X22" s="1065">
        <f>+'Anexo Contador'!J60</f>
        <v>0</v>
      </c>
      <c r="Y22" s="1066"/>
      <c r="Z22" s="1066"/>
      <c r="AA22" s="1066"/>
      <c r="AB22" s="1067"/>
      <c r="AC22" s="188">
        <v>83</v>
      </c>
      <c r="AD22" s="1065">
        <f>+'Anexo Contador'!J78</f>
        <v>0</v>
      </c>
      <c r="AE22" s="1066"/>
      <c r="AF22" s="1066"/>
      <c r="AG22" s="1066"/>
      <c r="AH22" s="1067"/>
    </row>
    <row r="23" spans="2:34" ht="14.25" customHeight="1">
      <c r="B23" s="1045"/>
      <c r="C23" s="1089"/>
      <c r="D23" s="1082" t="s">
        <v>928</v>
      </c>
      <c r="E23" s="1083"/>
      <c r="F23" s="1083"/>
      <c r="G23" s="1083"/>
      <c r="H23" s="1083"/>
      <c r="I23" s="1083"/>
      <c r="J23" s="1084"/>
      <c r="K23" s="271">
        <v>39</v>
      </c>
      <c r="L23" s="1053">
        <f>+'Anexo Contador'!J30</f>
        <v>0</v>
      </c>
      <c r="M23" s="1054"/>
      <c r="N23" s="1054"/>
      <c r="O23" s="1054"/>
      <c r="P23" s="1055"/>
      <c r="Q23" s="271">
        <v>51</v>
      </c>
      <c r="R23" s="1053">
        <f>+'Anexo Contador'!J43</f>
        <v>0</v>
      </c>
      <c r="S23" s="1054"/>
      <c r="T23" s="1054"/>
      <c r="U23" s="1054"/>
      <c r="V23" s="1055"/>
      <c r="W23" s="271">
        <v>67</v>
      </c>
      <c r="X23" s="1053">
        <f>+'Anexo Contador'!J61</f>
        <v>0</v>
      </c>
      <c r="Y23" s="1054"/>
      <c r="Z23" s="1054"/>
      <c r="AA23" s="1054"/>
      <c r="AB23" s="1055"/>
      <c r="AC23" s="271">
        <v>84</v>
      </c>
      <c r="AD23" s="1053">
        <f>+'Anexo Contador'!J79</f>
        <v>0</v>
      </c>
      <c r="AE23" s="1054"/>
      <c r="AF23" s="1054"/>
      <c r="AG23" s="1054"/>
      <c r="AH23" s="1055"/>
    </row>
    <row r="24" spans="2:34" ht="14.25" customHeight="1">
      <c r="B24" s="1045"/>
      <c r="C24" s="1090"/>
      <c r="D24" s="1085" t="s">
        <v>929</v>
      </c>
      <c r="E24" s="1086"/>
      <c r="F24" s="1086"/>
      <c r="G24" s="1086"/>
      <c r="H24" s="1086"/>
      <c r="I24" s="1086"/>
      <c r="J24" s="1087"/>
      <c r="K24" s="273">
        <v>40</v>
      </c>
      <c r="L24" s="1068">
        <f>+'Anexo Contador'!J31</f>
        <v>0</v>
      </c>
      <c r="M24" s="1069"/>
      <c r="N24" s="1069"/>
      <c r="O24" s="1069"/>
      <c r="P24" s="1070"/>
      <c r="Q24" s="273">
        <v>52</v>
      </c>
      <c r="R24" s="1068">
        <f>+'Anexo Contador'!J44</f>
        <v>0</v>
      </c>
      <c r="S24" s="1069"/>
      <c r="T24" s="1069"/>
      <c r="U24" s="1069"/>
      <c r="V24" s="1070"/>
      <c r="W24" s="273">
        <v>68</v>
      </c>
      <c r="X24" s="1068">
        <f>+'Anexo Contador'!J62</f>
        <v>0</v>
      </c>
      <c r="Y24" s="1069"/>
      <c r="Z24" s="1069"/>
      <c r="AA24" s="1069"/>
      <c r="AB24" s="1070"/>
      <c r="AC24" s="273">
        <v>85</v>
      </c>
      <c r="AD24" s="1068">
        <f>+'Anexo Contador'!J80</f>
        <v>0</v>
      </c>
      <c r="AE24" s="1069"/>
      <c r="AF24" s="1069"/>
      <c r="AG24" s="1069"/>
      <c r="AH24" s="1070"/>
    </row>
    <row r="25" spans="2:34" ht="23.25" customHeight="1">
      <c r="B25" s="1045"/>
      <c r="C25" s="1062" t="s">
        <v>930</v>
      </c>
      <c r="D25" s="1063"/>
      <c r="E25" s="1063"/>
      <c r="F25" s="1063"/>
      <c r="G25" s="1063"/>
      <c r="H25" s="1063"/>
      <c r="I25" s="1063"/>
      <c r="J25" s="1063"/>
      <c r="K25" s="399">
        <v>41</v>
      </c>
      <c r="L25" s="1102">
        <f>+'Anexo Contador'!J32</f>
        <v>0</v>
      </c>
      <c r="M25" s="1103"/>
      <c r="N25" s="1103"/>
      <c r="O25" s="1103"/>
      <c r="P25" s="1104"/>
      <c r="Q25" s="399">
        <v>53</v>
      </c>
      <c r="R25" s="1102">
        <f>+'Anexo Contador'!J45</f>
        <v>0</v>
      </c>
      <c r="S25" s="1103"/>
      <c r="T25" s="1103"/>
      <c r="U25" s="1103"/>
      <c r="V25" s="1104"/>
      <c r="W25" s="399">
        <v>69</v>
      </c>
      <c r="X25" s="1102">
        <f>+'Anexo Contador'!J63</f>
        <v>0</v>
      </c>
      <c r="Y25" s="1103"/>
      <c r="Z25" s="1103"/>
      <c r="AA25" s="1103"/>
      <c r="AB25" s="1104"/>
      <c r="AC25" s="399">
        <v>86</v>
      </c>
      <c r="AD25" s="1102">
        <f>+'Anexo Contador'!J81</f>
        <v>0</v>
      </c>
      <c r="AE25" s="1103"/>
      <c r="AF25" s="1103"/>
      <c r="AG25" s="1103"/>
      <c r="AH25" s="1104"/>
    </row>
    <row r="26" spans="2:34" ht="13.5" customHeight="1">
      <c r="B26" s="1045"/>
      <c r="C26" s="1091" t="s">
        <v>949</v>
      </c>
      <c r="D26" s="1092"/>
      <c r="E26" s="1092"/>
      <c r="F26" s="1092"/>
      <c r="G26" s="1092"/>
      <c r="H26" s="1092"/>
      <c r="I26" s="1092"/>
      <c r="J26" s="1092"/>
      <c r="K26" s="1228"/>
      <c r="L26" s="1229"/>
      <c r="M26" s="1229"/>
      <c r="N26" s="1229"/>
      <c r="O26" s="1229"/>
      <c r="P26" s="1230"/>
      <c r="Q26" s="258">
        <v>54</v>
      </c>
      <c r="R26" s="1108">
        <f>+'Anexo Contador'!J46</f>
        <v>0</v>
      </c>
      <c r="S26" s="1097"/>
      <c r="T26" s="1097"/>
      <c r="U26" s="1097"/>
      <c r="V26" s="1098"/>
      <c r="W26" s="258">
        <v>70</v>
      </c>
      <c r="X26" s="1108">
        <f>+'Anexo Contador'!J64</f>
        <v>0</v>
      </c>
      <c r="Y26" s="1097"/>
      <c r="Z26" s="1097"/>
      <c r="AA26" s="1097"/>
      <c r="AB26" s="1098"/>
      <c r="AC26" s="258">
        <v>87</v>
      </c>
      <c r="AD26" s="1108">
        <f>+'Anexo Contador'!J82</f>
        <v>0</v>
      </c>
      <c r="AE26" s="1097"/>
      <c r="AF26" s="1097"/>
      <c r="AG26" s="1097"/>
      <c r="AH26" s="1098"/>
    </row>
    <row r="27" spans="2:34">
      <c r="B27" s="1045"/>
      <c r="C27" s="1091" t="s">
        <v>255</v>
      </c>
      <c r="D27" s="1092"/>
      <c r="E27" s="1092"/>
      <c r="F27" s="1092"/>
      <c r="G27" s="1092"/>
      <c r="H27" s="1092"/>
      <c r="I27" s="1092"/>
      <c r="J27" s="1092"/>
      <c r="K27" s="1228"/>
      <c r="L27" s="1229"/>
      <c r="M27" s="1229"/>
      <c r="N27" s="1229"/>
      <c r="O27" s="1229"/>
      <c r="P27" s="1230"/>
      <c r="Q27" s="258">
        <v>55</v>
      </c>
      <c r="R27" s="1108">
        <f>+'Anexo Contador'!J47</f>
        <v>0</v>
      </c>
      <c r="S27" s="1097"/>
      <c r="T27" s="1097"/>
      <c r="U27" s="1097"/>
      <c r="V27" s="1098"/>
      <c r="W27" s="258">
        <v>71</v>
      </c>
      <c r="X27" s="1108">
        <f>+'Anexo Contador'!J65</f>
        <v>0</v>
      </c>
      <c r="Y27" s="1097"/>
      <c r="Z27" s="1097"/>
      <c r="AA27" s="1097"/>
      <c r="AB27" s="1098"/>
      <c r="AC27" s="258">
        <v>88</v>
      </c>
      <c r="AD27" s="1108">
        <f>+'Anexo Contador'!J83</f>
        <v>0</v>
      </c>
      <c r="AE27" s="1097"/>
      <c r="AF27" s="1097"/>
      <c r="AG27" s="1097"/>
      <c r="AH27" s="1098"/>
    </row>
    <row r="28" spans="2:34" ht="24" customHeight="1">
      <c r="B28" s="1045"/>
      <c r="C28" s="1082" t="s">
        <v>934</v>
      </c>
      <c r="D28" s="1083"/>
      <c r="E28" s="1083"/>
      <c r="F28" s="1083"/>
      <c r="G28" s="1083"/>
      <c r="H28" s="1083"/>
      <c r="I28" s="1083"/>
      <c r="J28" s="1083"/>
      <c r="K28" s="1228"/>
      <c r="L28" s="1229"/>
      <c r="M28" s="1229"/>
      <c r="N28" s="1229"/>
      <c r="O28" s="1229"/>
      <c r="P28" s="1230"/>
      <c r="Q28" s="271">
        <v>56</v>
      </c>
      <c r="R28" s="1053">
        <f>+'Anexo Contador'!J48</f>
        <v>0</v>
      </c>
      <c r="S28" s="1054"/>
      <c r="T28" s="1054"/>
      <c r="U28" s="1054"/>
      <c r="V28" s="1055"/>
      <c r="W28" s="271">
        <v>72</v>
      </c>
      <c r="X28" s="1053">
        <f>+'Anexo Contador'!J66</f>
        <v>0</v>
      </c>
      <c r="Y28" s="1054"/>
      <c r="Z28" s="1054"/>
      <c r="AA28" s="1054"/>
      <c r="AB28" s="1055"/>
      <c r="AC28" s="271">
        <v>89</v>
      </c>
      <c r="AD28" s="1053">
        <f>+'Anexo Contador'!J84</f>
        <v>0</v>
      </c>
      <c r="AE28" s="1054"/>
      <c r="AF28" s="1054"/>
      <c r="AG28" s="1054"/>
      <c r="AH28" s="1055"/>
    </row>
    <row r="29" spans="2:34" ht="13.5" customHeight="1">
      <c r="B29" s="1045"/>
      <c r="C29" s="1091" t="s">
        <v>931</v>
      </c>
      <c r="D29" s="1092"/>
      <c r="E29" s="1092"/>
      <c r="F29" s="1092"/>
      <c r="G29" s="1092"/>
      <c r="H29" s="1092"/>
      <c r="I29" s="1092"/>
      <c r="J29" s="1092"/>
      <c r="K29" s="273">
        <v>42</v>
      </c>
      <c r="L29" s="1068">
        <f>+'Anexo Contador'!J33</f>
        <v>0</v>
      </c>
      <c r="M29" s="1069"/>
      <c r="N29" s="1069"/>
      <c r="O29" s="1069"/>
      <c r="P29" s="1070"/>
      <c r="Q29" s="273">
        <v>57</v>
      </c>
      <c r="R29" s="1068">
        <f>+'Anexo Contador'!J49</f>
        <v>0</v>
      </c>
      <c r="S29" s="1069"/>
      <c r="T29" s="1069"/>
      <c r="U29" s="1069"/>
      <c r="V29" s="1070"/>
      <c r="W29" s="273">
        <v>73</v>
      </c>
      <c r="X29" s="1068">
        <f>+'Anexo Contador'!J67</f>
        <v>0</v>
      </c>
      <c r="Y29" s="1069"/>
      <c r="Z29" s="1069"/>
      <c r="AA29" s="1069"/>
      <c r="AB29" s="1070"/>
      <c r="AC29" s="273">
        <v>90</v>
      </c>
      <c r="AD29" s="1068">
        <f>+'Anexo Contador'!J85</f>
        <v>0</v>
      </c>
      <c r="AE29" s="1069"/>
      <c r="AF29" s="1069"/>
      <c r="AG29" s="1069"/>
      <c r="AH29" s="1070"/>
    </row>
    <row r="30" spans="2:34" ht="36" customHeight="1">
      <c r="B30" s="1045"/>
      <c r="C30" s="1111" t="s">
        <v>1013</v>
      </c>
      <c r="D30" s="1112"/>
      <c r="E30" s="1113"/>
      <c r="F30" s="400">
        <v>91</v>
      </c>
      <c r="G30" s="1114">
        <f>+'Anexo Contador'!J87</f>
        <v>0</v>
      </c>
      <c r="H30" s="1115"/>
      <c r="I30" s="1115"/>
      <c r="J30" s="1116"/>
      <c r="K30" s="1111" t="s">
        <v>1108</v>
      </c>
      <c r="L30" s="1112"/>
      <c r="M30" s="1113"/>
      <c r="N30" s="400">
        <v>92</v>
      </c>
      <c r="O30" s="1114">
        <f>+'Anexo Contador'!J88</f>
        <v>0</v>
      </c>
      <c r="P30" s="1115"/>
      <c r="Q30" s="1115"/>
      <c r="R30" s="1116"/>
      <c r="S30" s="1111" t="s">
        <v>951</v>
      </c>
      <c r="T30" s="1112"/>
      <c r="U30" s="1113"/>
      <c r="V30" s="400">
        <v>93</v>
      </c>
      <c r="W30" s="1114">
        <f>+'Anexo Contador'!J89</f>
        <v>0</v>
      </c>
      <c r="X30" s="1115"/>
      <c r="Y30" s="1115"/>
      <c r="Z30" s="1116"/>
      <c r="AA30" s="1111" t="s">
        <v>950</v>
      </c>
      <c r="AB30" s="1112"/>
      <c r="AC30" s="1113"/>
      <c r="AD30" s="400">
        <v>94</v>
      </c>
      <c r="AE30" s="1114">
        <f>+'Anexo Contador'!J90</f>
        <v>0</v>
      </c>
      <c r="AF30" s="1115"/>
      <c r="AG30" s="1115"/>
      <c r="AH30" s="1116"/>
    </row>
    <row r="31" spans="2:34" ht="36" customHeight="1">
      <c r="B31" s="1046"/>
      <c r="C31" s="1117" t="s">
        <v>1109</v>
      </c>
      <c r="D31" s="1118"/>
      <c r="E31" s="1119"/>
      <c r="F31" s="399">
        <v>95</v>
      </c>
      <c r="G31" s="1102">
        <f>+'Anexo Contador'!J91</f>
        <v>0</v>
      </c>
      <c r="H31" s="1103"/>
      <c r="I31" s="1103"/>
      <c r="J31" s="1104"/>
      <c r="K31" s="1117" t="s">
        <v>953</v>
      </c>
      <c r="L31" s="1118"/>
      <c r="M31" s="1119"/>
      <c r="N31" s="399">
        <v>96</v>
      </c>
      <c r="O31" s="1102">
        <f>+'Anexo Contador'!J92</f>
        <v>0</v>
      </c>
      <c r="P31" s="1103"/>
      <c r="Q31" s="1115"/>
      <c r="R31" s="1116"/>
      <c r="S31" s="1117" t="s">
        <v>952</v>
      </c>
      <c r="T31" s="1118"/>
      <c r="U31" s="1119"/>
      <c r="V31" s="399">
        <v>97</v>
      </c>
      <c r="W31" s="1102">
        <f>+'Anexo Contador'!J93</f>
        <v>0</v>
      </c>
      <c r="X31" s="1103"/>
      <c r="Y31" s="1103"/>
      <c r="Z31" s="1104"/>
      <c r="AA31" s="1117" t="s">
        <v>8</v>
      </c>
      <c r="AB31" s="1118"/>
      <c r="AC31" s="1119"/>
      <c r="AD31" s="399">
        <v>98</v>
      </c>
      <c r="AE31" s="1114">
        <f>+'Anexo Contador'!J95</f>
        <v>0</v>
      </c>
      <c r="AF31" s="1115"/>
      <c r="AG31" s="1115"/>
      <c r="AH31" s="1116"/>
    </row>
    <row r="32" spans="2:34" ht="24.75" customHeight="1">
      <c r="B32" s="1215" t="s">
        <v>846</v>
      </c>
      <c r="C32" s="1047" t="s">
        <v>231</v>
      </c>
      <c r="D32" s="1048"/>
      <c r="E32" s="1048"/>
      <c r="F32" s="1048"/>
      <c r="G32" s="1048"/>
      <c r="H32" s="1048"/>
      <c r="I32" s="1048"/>
      <c r="J32" s="1048"/>
      <c r="K32" s="1049"/>
      <c r="L32" s="188">
        <v>99</v>
      </c>
      <c r="M32" s="1065">
        <f>+'Anexo Contador'!J97</f>
        <v>0</v>
      </c>
      <c r="N32" s="1066"/>
      <c r="O32" s="1066"/>
      <c r="P32" s="1067"/>
      <c r="Q32" s="1206" t="s">
        <v>1099</v>
      </c>
      <c r="R32" s="1244" t="s">
        <v>959</v>
      </c>
      <c r="S32" s="1209" t="s">
        <v>1066</v>
      </c>
      <c r="T32" s="1210"/>
      <c r="U32" s="1210"/>
      <c r="V32" s="1210"/>
      <c r="W32" s="1210"/>
      <c r="X32" s="1210"/>
      <c r="Y32" s="1210"/>
      <c r="Z32" s="1210"/>
      <c r="AA32" s="1210"/>
      <c r="AB32" s="1210"/>
      <c r="AC32" s="1211"/>
      <c r="AD32" s="188">
        <v>116</v>
      </c>
      <c r="AE32" s="1066">
        <f>+'Anexo Contador'!J118</f>
        <v>0</v>
      </c>
      <c r="AF32" s="1066"/>
      <c r="AG32" s="1066"/>
      <c r="AH32" s="1067"/>
    </row>
    <row r="33" spans="2:34" ht="15.75" customHeight="1">
      <c r="B33" s="1216"/>
      <c r="C33" s="1050" t="s">
        <v>146</v>
      </c>
      <c r="D33" s="1051"/>
      <c r="E33" s="1051"/>
      <c r="F33" s="1051"/>
      <c r="G33" s="1051"/>
      <c r="H33" s="1051"/>
      <c r="I33" s="1051"/>
      <c r="J33" s="1051"/>
      <c r="K33" s="1052"/>
      <c r="L33" s="271">
        <v>100</v>
      </c>
      <c r="M33" s="1053">
        <f>+'Anexo Contador'!J98</f>
        <v>0</v>
      </c>
      <c r="N33" s="1054"/>
      <c r="O33" s="1054"/>
      <c r="P33" s="1055"/>
      <c r="Q33" s="1207"/>
      <c r="R33" s="1245"/>
      <c r="S33" s="1120" t="s">
        <v>1094</v>
      </c>
      <c r="T33" s="1121"/>
      <c r="U33" s="1121"/>
      <c r="V33" s="1121"/>
      <c r="W33" s="1121"/>
      <c r="X33" s="1121"/>
      <c r="Y33" s="1121"/>
      <c r="Z33" s="1121"/>
      <c r="AA33" s="1121"/>
      <c r="AB33" s="1121"/>
      <c r="AC33" s="1122"/>
      <c r="AD33" s="271">
        <v>117</v>
      </c>
      <c r="AE33" s="1054">
        <f>+'Anexo Contador'!J119</f>
        <v>0</v>
      </c>
      <c r="AF33" s="1054"/>
      <c r="AG33" s="1054"/>
      <c r="AH33" s="1055"/>
    </row>
    <row r="34" spans="2:34" ht="16.5" customHeight="1">
      <c r="B34" s="1216"/>
      <c r="C34" s="1062" t="s">
        <v>228</v>
      </c>
      <c r="D34" s="1063"/>
      <c r="E34" s="1063"/>
      <c r="F34" s="1063"/>
      <c r="G34" s="1063"/>
      <c r="H34" s="1063"/>
      <c r="I34" s="1063"/>
      <c r="J34" s="1063"/>
      <c r="K34" s="1064"/>
      <c r="L34" s="258">
        <v>101</v>
      </c>
      <c r="M34" s="1108">
        <f>+'Anexo Contador'!J99</f>
        <v>0</v>
      </c>
      <c r="N34" s="1097"/>
      <c r="O34" s="1097"/>
      <c r="P34" s="1098"/>
      <c r="Q34" s="1207"/>
      <c r="R34" s="1245"/>
      <c r="S34" s="1120" t="s">
        <v>961</v>
      </c>
      <c r="T34" s="1121"/>
      <c r="U34" s="1121"/>
      <c r="V34" s="1121"/>
      <c r="W34" s="1121"/>
      <c r="X34" s="1121"/>
      <c r="Y34" s="1121"/>
      <c r="Z34" s="1121"/>
      <c r="AA34" s="1121"/>
      <c r="AB34" s="1121"/>
      <c r="AC34" s="1122"/>
      <c r="AD34" s="271">
        <v>118</v>
      </c>
      <c r="AE34" s="1054">
        <f>+'Anexo Contador'!J120</f>
        <v>0</v>
      </c>
      <c r="AF34" s="1054"/>
      <c r="AG34" s="1054"/>
      <c r="AH34" s="1055"/>
    </row>
    <row r="35" spans="2:34" ht="13.5" customHeight="1">
      <c r="B35" s="1216"/>
      <c r="C35" s="1050" t="s">
        <v>232</v>
      </c>
      <c r="D35" s="1051"/>
      <c r="E35" s="1051"/>
      <c r="F35" s="1051"/>
      <c r="G35" s="1051"/>
      <c r="H35" s="1051"/>
      <c r="I35" s="1051"/>
      <c r="J35" s="1051"/>
      <c r="K35" s="1052"/>
      <c r="L35" s="271">
        <v>102</v>
      </c>
      <c r="M35" s="1053">
        <f>+'Anexo Contador'!J100</f>
        <v>0</v>
      </c>
      <c r="N35" s="1054"/>
      <c r="O35" s="1054"/>
      <c r="P35" s="1055"/>
      <c r="Q35" s="1207"/>
      <c r="R35" s="1245"/>
      <c r="S35" s="1120" t="s">
        <v>960</v>
      </c>
      <c r="T35" s="1121"/>
      <c r="U35" s="1121"/>
      <c r="V35" s="1121"/>
      <c r="W35" s="1121"/>
      <c r="X35" s="1121"/>
      <c r="Y35" s="1121"/>
      <c r="Z35" s="1121"/>
      <c r="AA35" s="1121"/>
      <c r="AB35" s="1121"/>
      <c r="AC35" s="1122"/>
      <c r="AD35" s="405">
        <v>119</v>
      </c>
      <c r="AE35" s="1054">
        <f>+'Anexo Contador'!J121</f>
        <v>0</v>
      </c>
      <c r="AF35" s="1054"/>
      <c r="AG35" s="1054"/>
      <c r="AH35" s="1055"/>
    </row>
    <row r="36" spans="2:34" ht="13.5" customHeight="1">
      <c r="B36" s="1217"/>
      <c r="C36" s="1071" t="s">
        <v>835</v>
      </c>
      <c r="D36" s="1072"/>
      <c r="E36" s="1072"/>
      <c r="F36" s="1072"/>
      <c r="G36" s="1072"/>
      <c r="H36" s="1072"/>
      <c r="I36" s="1072"/>
      <c r="J36" s="1072"/>
      <c r="K36" s="1073"/>
      <c r="L36" s="273">
        <v>103</v>
      </c>
      <c r="M36" s="1068">
        <f>+'Anexo Contador'!J101</f>
        <v>0</v>
      </c>
      <c r="N36" s="1069"/>
      <c r="O36" s="1069"/>
      <c r="P36" s="1070"/>
      <c r="Q36" s="1207"/>
      <c r="R36" s="1245"/>
      <c r="S36" s="1120" t="s">
        <v>1069</v>
      </c>
      <c r="T36" s="1121"/>
      <c r="U36" s="1121"/>
      <c r="V36" s="1121"/>
      <c r="W36" s="1121"/>
      <c r="X36" s="1121"/>
      <c r="Y36" s="1121"/>
      <c r="Z36" s="1121"/>
      <c r="AA36" s="1121"/>
      <c r="AB36" s="1121"/>
      <c r="AC36" s="1122"/>
      <c r="AD36" s="405">
        <v>120</v>
      </c>
      <c r="AE36" s="1054">
        <f>+'Anexo Contador'!J122</f>
        <v>0</v>
      </c>
      <c r="AF36" s="1054"/>
      <c r="AG36" s="1054"/>
      <c r="AH36" s="1055"/>
    </row>
    <row r="37" spans="2:34" ht="13.5" customHeight="1">
      <c r="B37" s="1044" t="s">
        <v>847</v>
      </c>
      <c r="C37" s="1047" t="s">
        <v>955</v>
      </c>
      <c r="D37" s="1048"/>
      <c r="E37" s="1048"/>
      <c r="F37" s="1048"/>
      <c r="G37" s="1048"/>
      <c r="H37" s="1048"/>
      <c r="I37" s="1048"/>
      <c r="J37" s="1048"/>
      <c r="K37" s="1049"/>
      <c r="L37" s="188">
        <v>104</v>
      </c>
      <c r="M37" s="1065">
        <f>+'Anexo Contador'!J103</f>
        <v>0</v>
      </c>
      <c r="N37" s="1066"/>
      <c r="O37" s="1066"/>
      <c r="P37" s="1067"/>
      <c r="Q37" s="1207"/>
      <c r="R37" s="1246"/>
      <c r="S37" s="1123" t="s">
        <v>840</v>
      </c>
      <c r="T37" s="1124"/>
      <c r="U37" s="1124"/>
      <c r="V37" s="1124"/>
      <c r="W37" s="1124"/>
      <c r="X37" s="1124"/>
      <c r="Y37" s="1124"/>
      <c r="Z37" s="1124"/>
      <c r="AA37" s="1124"/>
      <c r="AB37" s="1124"/>
      <c r="AC37" s="1125"/>
      <c r="AD37" s="273">
        <v>121</v>
      </c>
      <c r="AE37" s="1069">
        <f>+'Anexo Contador'!J123</f>
        <v>0</v>
      </c>
      <c r="AF37" s="1069"/>
      <c r="AG37" s="1069"/>
      <c r="AH37" s="1070"/>
    </row>
    <row r="38" spans="2:34" ht="24" customHeight="1">
      <c r="B38" s="1045"/>
      <c r="C38" s="1050" t="s">
        <v>146</v>
      </c>
      <c r="D38" s="1051"/>
      <c r="E38" s="1051"/>
      <c r="F38" s="1051"/>
      <c r="G38" s="1051"/>
      <c r="H38" s="1051"/>
      <c r="I38" s="1051"/>
      <c r="J38" s="1051"/>
      <c r="K38" s="1052"/>
      <c r="L38" s="271">
        <v>105</v>
      </c>
      <c r="M38" s="1053">
        <f>+'Anexo Contador'!J104</f>
        <v>0</v>
      </c>
      <c r="N38" s="1054"/>
      <c r="O38" s="1054"/>
      <c r="P38" s="1055"/>
      <c r="Q38" s="1207"/>
      <c r="R38" s="1247" t="s">
        <v>177</v>
      </c>
      <c r="S38" s="1249" t="s">
        <v>962</v>
      </c>
      <c r="T38" s="1250"/>
      <c r="U38" s="1251"/>
      <c r="V38" s="404">
        <v>122</v>
      </c>
      <c r="W38" s="1252">
        <f>+'Anexo Contador'!J125</f>
        <v>0</v>
      </c>
      <c r="X38" s="1253"/>
      <c r="Y38" s="1253"/>
      <c r="Z38" s="1254"/>
      <c r="AA38" s="1212" t="s">
        <v>174</v>
      </c>
      <c r="AB38" s="1213"/>
      <c r="AC38" s="1214"/>
      <c r="AD38" s="404">
        <v>123</v>
      </c>
      <c r="AE38" s="1252">
        <f>+'Anexo Contador'!J126</f>
        <v>0</v>
      </c>
      <c r="AF38" s="1253"/>
      <c r="AG38" s="1253"/>
      <c r="AH38" s="1254"/>
    </row>
    <row r="39" spans="2:34" ht="24" customHeight="1">
      <c r="B39" s="1045"/>
      <c r="C39" s="1062" t="s">
        <v>259</v>
      </c>
      <c r="D39" s="1063"/>
      <c r="E39" s="1063"/>
      <c r="F39" s="1063"/>
      <c r="G39" s="1063"/>
      <c r="H39" s="1063"/>
      <c r="I39" s="1063"/>
      <c r="J39" s="1063"/>
      <c r="K39" s="1064"/>
      <c r="L39" s="258">
        <v>106</v>
      </c>
      <c r="M39" s="1108">
        <f>+'Anexo Contador'!J105</f>
        <v>0</v>
      </c>
      <c r="N39" s="1097"/>
      <c r="O39" s="1097"/>
      <c r="P39" s="1098"/>
      <c r="Q39" s="1207"/>
      <c r="R39" s="1248"/>
      <c r="S39" s="1264" t="s">
        <v>1095</v>
      </c>
      <c r="T39" s="1265"/>
      <c r="U39" s="1266"/>
      <c r="V39" s="404">
        <v>124</v>
      </c>
      <c r="W39" s="1252">
        <f>+'Anexo Contador'!J127</f>
        <v>0</v>
      </c>
      <c r="X39" s="1253"/>
      <c r="Y39" s="1253"/>
      <c r="Z39" s="1254"/>
      <c r="AA39" s="1111" t="s">
        <v>1096</v>
      </c>
      <c r="AB39" s="1112"/>
      <c r="AC39" s="1113"/>
      <c r="AD39" s="400">
        <v>125</v>
      </c>
      <c r="AE39" s="1114">
        <f>+'Anexo Contador'!J128</f>
        <v>0</v>
      </c>
      <c r="AF39" s="1115"/>
      <c r="AG39" s="1115"/>
      <c r="AH39" s="1116"/>
    </row>
    <row r="40" spans="2:34">
      <c r="B40" s="1045"/>
      <c r="C40" s="1050" t="s">
        <v>956</v>
      </c>
      <c r="D40" s="1051"/>
      <c r="E40" s="1051"/>
      <c r="F40" s="1051"/>
      <c r="G40" s="1051"/>
      <c r="H40" s="1051"/>
      <c r="I40" s="1051"/>
      <c r="J40" s="1051"/>
      <c r="K40" s="1052"/>
      <c r="L40" s="271">
        <v>107</v>
      </c>
      <c r="M40" s="1053">
        <f>+'Anexo Contador'!J106</f>
        <v>0</v>
      </c>
      <c r="N40" s="1054"/>
      <c r="O40" s="1054"/>
      <c r="P40" s="1055"/>
      <c r="Q40" s="1207"/>
    </row>
    <row r="41" spans="2:34" ht="13.5">
      <c r="B41" s="1045"/>
      <c r="C41" s="1050" t="s">
        <v>957</v>
      </c>
      <c r="D41" s="1051"/>
      <c r="E41" s="1051"/>
      <c r="F41" s="1051"/>
      <c r="G41" s="1051"/>
      <c r="H41" s="1051"/>
      <c r="I41" s="1051"/>
      <c r="J41" s="1051"/>
      <c r="K41" s="1052"/>
      <c r="L41" s="271">
        <v>108</v>
      </c>
      <c r="M41" s="1053">
        <f>+'Anexo Contador'!J107</f>
        <v>0</v>
      </c>
      <c r="N41" s="1054"/>
      <c r="O41" s="1054"/>
      <c r="P41" s="1055"/>
      <c r="Q41" s="1207"/>
      <c r="R41" s="1194" t="s">
        <v>9</v>
      </c>
      <c r="S41" s="1195"/>
      <c r="T41" s="1195"/>
      <c r="U41" s="1195"/>
      <c r="V41" s="1195"/>
      <c r="W41" s="1195"/>
      <c r="X41" s="1195"/>
      <c r="Y41" s="1195"/>
      <c r="Z41" s="1195"/>
      <c r="AA41" s="1195"/>
      <c r="AB41" s="1195"/>
      <c r="AC41" s="1196"/>
      <c r="AD41" s="399">
        <v>126</v>
      </c>
      <c r="AE41" s="1102">
        <f>+'Anexo Contador'!J130</f>
        <v>0</v>
      </c>
      <c r="AF41" s="1103"/>
      <c r="AG41" s="1103"/>
      <c r="AH41" s="1104"/>
    </row>
    <row r="42" spans="2:34" ht="20.25" customHeight="1">
      <c r="B42" s="1045"/>
      <c r="C42" s="1050" t="s">
        <v>1060</v>
      </c>
      <c r="D42" s="1051"/>
      <c r="E42" s="1051"/>
      <c r="F42" s="1051"/>
      <c r="G42" s="1051"/>
      <c r="H42" s="1051"/>
      <c r="I42" s="1051"/>
      <c r="J42" s="1051"/>
      <c r="K42" s="1052"/>
      <c r="L42" s="271">
        <v>109</v>
      </c>
      <c r="M42" s="1053">
        <f>+'Anexo Contador'!J108</f>
        <v>0</v>
      </c>
      <c r="N42" s="1054"/>
      <c r="O42" s="1054"/>
      <c r="P42" s="1055"/>
      <c r="Q42" s="1207"/>
      <c r="R42" s="1099" t="s">
        <v>10</v>
      </c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1"/>
      <c r="AD42" s="258">
        <v>127</v>
      </c>
      <c r="AE42" s="1108">
        <f>+'Anexo Contador'!J132</f>
        <v>0</v>
      </c>
      <c r="AF42" s="1097"/>
      <c r="AG42" s="1097"/>
      <c r="AH42" s="1098"/>
    </row>
    <row r="43" spans="2:34" ht="13.5" customHeight="1">
      <c r="B43" s="1046"/>
      <c r="C43" s="1059" t="s">
        <v>936</v>
      </c>
      <c r="D43" s="1060"/>
      <c r="E43" s="1060"/>
      <c r="F43" s="1060"/>
      <c r="G43" s="1060"/>
      <c r="H43" s="1060"/>
      <c r="I43" s="1060"/>
      <c r="J43" s="1060"/>
      <c r="K43" s="1061"/>
      <c r="L43" s="272">
        <v>110</v>
      </c>
      <c r="M43" s="1056">
        <f>+'Anexo Contador'!J109</f>
        <v>0</v>
      </c>
      <c r="N43" s="1057"/>
      <c r="O43" s="1057"/>
      <c r="P43" s="1058"/>
      <c r="Q43" s="1207"/>
      <c r="R43" s="1099" t="s">
        <v>1097</v>
      </c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1"/>
      <c r="AD43" s="258">
        <v>128</v>
      </c>
      <c r="AE43" s="1108">
        <f>+'Anexo Contador'!J136</f>
        <v>0</v>
      </c>
      <c r="AF43" s="1097"/>
      <c r="AG43" s="1097"/>
      <c r="AH43" s="1098"/>
    </row>
    <row r="44" spans="2:34" ht="28.5" customHeight="1">
      <c r="B44" s="1231" t="s">
        <v>1090</v>
      </c>
      <c r="C44" s="1232"/>
      <c r="D44" s="1232"/>
      <c r="E44" s="1232"/>
      <c r="F44" s="1232"/>
      <c r="G44" s="1232"/>
      <c r="H44" s="1232"/>
      <c r="I44" s="1232"/>
      <c r="J44" s="1232"/>
      <c r="K44" s="1233"/>
      <c r="L44" s="271">
        <v>111</v>
      </c>
      <c r="M44" s="1056">
        <f>+'Anexo Contador'!J110</f>
        <v>0</v>
      </c>
      <c r="N44" s="1057"/>
      <c r="O44" s="1057"/>
      <c r="P44" s="1058"/>
      <c r="Q44" s="1207"/>
      <c r="R44" s="1200" t="s">
        <v>11</v>
      </c>
      <c r="S44" s="1201"/>
      <c r="T44" s="1201"/>
      <c r="U44" s="1201"/>
      <c r="V44" s="1201"/>
      <c r="W44" s="1201"/>
      <c r="X44" s="1201"/>
      <c r="Y44" s="1201"/>
      <c r="Z44" s="1201"/>
      <c r="AA44" s="1201"/>
      <c r="AB44" s="1201"/>
      <c r="AC44" s="1202"/>
      <c r="AD44" s="258">
        <v>129</v>
      </c>
      <c r="AE44" s="1108">
        <f>+'Anexo Contador'!J137</f>
        <v>0</v>
      </c>
      <c r="AF44" s="1097"/>
      <c r="AG44" s="1097"/>
      <c r="AH44" s="1098"/>
    </row>
    <row r="45" spans="2:34" ht="22.5" customHeight="1">
      <c r="B45" s="1234" t="s">
        <v>838</v>
      </c>
      <c r="C45" s="1117" t="s">
        <v>958</v>
      </c>
      <c r="D45" s="1118"/>
      <c r="E45" s="1118"/>
      <c r="F45" s="1118"/>
      <c r="G45" s="1118"/>
      <c r="H45" s="1118"/>
      <c r="I45" s="1118"/>
      <c r="J45" s="1118"/>
      <c r="K45" s="1119"/>
      <c r="L45" s="188">
        <v>112</v>
      </c>
      <c r="M45" s="1065">
        <f>+'Anexo Contador'!J111</f>
        <v>0</v>
      </c>
      <c r="N45" s="1066"/>
      <c r="O45" s="1066"/>
      <c r="P45" s="1067"/>
      <c r="Q45" s="1207"/>
      <c r="R45" s="1200" t="s">
        <v>268</v>
      </c>
      <c r="S45" s="1201"/>
      <c r="T45" s="1201"/>
      <c r="U45" s="1201"/>
      <c r="V45" s="1201"/>
      <c r="W45" s="1201"/>
      <c r="X45" s="1201"/>
      <c r="Y45" s="1201"/>
      <c r="Z45" s="1201"/>
      <c r="AA45" s="1201"/>
      <c r="AB45" s="1201"/>
      <c r="AC45" s="1202"/>
      <c r="AD45" s="258">
        <v>130</v>
      </c>
      <c r="AE45" s="1108">
        <f>+'Anexo Contador'!J138</f>
        <v>0</v>
      </c>
      <c r="AF45" s="1097"/>
      <c r="AG45" s="1097"/>
      <c r="AH45" s="1098"/>
    </row>
    <row r="46" spans="2:34" ht="24" customHeight="1">
      <c r="B46" s="1235"/>
      <c r="C46" s="1050" t="s">
        <v>105</v>
      </c>
      <c r="D46" s="1051"/>
      <c r="E46" s="1051"/>
      <c r="F46" s="1051"/>
      <c r="G46" s="1051"/>
      <c r="H46" s="1051"/>
      <c r="I46" s="1051"/>
      <c r="J46" s="1051"/>
      <c r="K46" s="1052"/>
      <c r="L46" s="271">
        <v>113</v>
      </c>
      <c r="M46" s="1053">
        <f>+'Anexo Contador'!J112</f>
        <v>0</v>
      </c>
      <c r="N46" s="1054"/>
      <c r="O46" s="1054"/>
      <c r="P46" s="1055"/>
      <c r="Q46" s="1207"/>
      <c r="R46" s="1200" t="s">
        <v>963</v>
      </c>
      <c r="S46" s="1201"/>
      <c r="T46" s="1201"/>
      <c r="U46" s="1201"/>
      <c r="V46" s="1201"/>
      <c r="W46" s="1201"/>
      <c r="X46" s="1201"/>
      <c r="Y46" s="1201"/>
      <c r="Z46" s="1201"/>
      <c r="AA46" s="1201"/>
      <c r="AB46" s="1201"/>
      <c r="AC46" s="1202"/>
      <c r="AD46" s="258">
        <v>131</v>
      </c>
      <c r="AE46" s="1108">
        <f>+'Anexo Contador'!J139</f>
        <v>0</v>
      </c>
      <c r="AF46" s="1097"/>
      <c r="AG46" s="1097"/>
      <c r="AH46" s="1098"/>
    </row>
    <row r="47" spans="2:34" ht="13.5" customHeight="1">
      <c r="B47" s="1235"/>
      <c r="C47" s="1050" t="s">
        <v>24</v>
      </c>
      <c r="D47" s="1051"/>
      <c r="E47" s="1051"/>
      <c r="F47" s="1051"/>
      <c r="G47" s="1051"/>
      <c r="H47" s="1051"/>
      <c r="I47" s="1051"/>
      <c r="J47" s="1051"/>
      <c r="K47" s="1052"/>
      <c r="L47" s="271">
        <v>114</v>
      </c>
      <c r="M47" s="1053">
        <f>+'Anexo Contador'!J113</f>
        <v>0</v>
      </c>
      <c r="N47" s="1054"/>
      <c r="O47" s="1054"/>
      <c r="P47" s="1055"/>
      <c r="Q47" s="1207"/>
      <c r="R47" s="1200" t="s">
        <v>1098</v>
      </c>
      <c r="S47" s="1201"/>
      <c r="T47" s="1201"/>
      <c r="U47" s="1201"/>
      <c r="V47" s="1201"/>
      <c r="W47" s="1201"/>
      <c r="X47" s="1201"/>
      <c r="Y47" s="1201"/>
      <c r="Z47" s="1201"/>
      <c r="AA47" s="1201"/>
      <c r="AB47" s="1201"/>
      <c r="AC47" s="1202"/>
      <c r="AD47" s="258">
        <v>132</v>
      </c>
      <c r="AE47" s="1108">
        <f>+'Anexo Contador'!J140</f>
        <v>0</v>
      </c>
      <c r="AF47" s="1097"/>
      <c r="AG47" s="1097"/>
      <c r="AH47" s="1098"/>
    </row>
    <row r="48" spans="2:34" ht="22.5" customHeight="1">
      <c r="B48" s="1236"/>
      <c r="C48" s="1071" t="s">
        <v>176</v>
      </c>
      <c r="D48" s="1072"/>
      <c r="E48" s="1072"/>
      <c r="F48" s="1072"/>
      <c r="G48" s="1072"/>
      <c r="H48" s="1072"/>
      <c r="I48" s="1072"/>
      <c r="J48" s="1072"/>
      <c r="K48" s="1073"/>
      <c r="L48" s="273">
        <v>115</v>
      </c>
      <c r="M48" s="1068">
        <f>+'Anexo Contador'!J114</f>
        <v>0</v>
      </c>
      <c r="N48" s="1069"/>
      <c r="O48" s="1069"/>
      <c r="P48" s="1070"/>
      <c r="Q48" s="1208"/>
      <c r="R48" s="1203" t="s">
        <v>271</v>
      </c>
      <c r="S48" s="1204"/>
      <c r="T48" s="1204"/>
      <c r="U48" s="1204"/>
      <c r="V48" s="1204"/>
      <c r="W48" s="1204"/>
      <c r="X48" s="1204"/>
      <c r="Y48" s="1204"/>
      <c r="Z48" s="1204"/>
      <c r="AA48" s="1204"/>
      <c r="AB48" s="1204"/>
      <c r="AC48" s="1205"/>
      <c r="AD48" s="273">
        <v>133</v>
      </c>
      <c r="AE48" s="1068">
        <f>+'Anexo Contador'!J142</f>
        <v>0</v>
      </c>
      <c r="AF48" s="1069"/>
      <c r="AG48" s="1069"/>
      <c r="AH48" s="1070"/>
    </row>
    <row r="49" spans="2:34" ht="6.75" customHeight="1">
      <c r="B49" s="345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</row>
    <row r="50" spans="2:34" ht="28.5" customHeight="1">
      <c r="B50" s="1111" t="s">
        <v>12</v>
      </c>
      <c r="C50" s="1112"/>
      <c r="D50" s="1112"/>
      <c r="E50" s="1113"/>
      <c r="F50" s="400">
        <v>134</v>
      </c>
      <c r="G50" s="1197">
        <f>+'Anexo Contador'!J150</f>
        <v>0</v>
      </c>
      <c r="H50" s="1198"/>
      <c r="I50" s="1198"/>
      <c r="J50" s="1199"/>
      <c r="K50" s="1111" t="s">
        <v>13</v>
      </c>
      <c r="L50" s="1112"/>
      <c r="M50" s="1113"/>
      <c r="N50" s="400">
        <v>135</v>
      </c>
      <c r="O50" s="1197">
        <f>+'Anexo Contador'!J151</f>
        <v>0</v>
      </c>
      <c r="P50" s="1198"/>
      <c r="Q50" s="1198"/>
      <c r="R50" s="1199"/>
      <c r="S50" s="1111" t="s">
        <v>39</v>
      </c>
      <c r="T50" s="1112"/>
      <c r="U50" s="1113"/>
      <c r="V50" s="400">
        <v>136</v>
      </c>
      <c r="W50" s="1197">
        <f>+'Anexo Contador'!J152</f>
        <v>0</v>
      </c>
      <c r="X50" s="1198"/>
      <c r="Y50" s="1198"/>
      <c r="Z50" s="1199"/>
      <c r="AA50" s="1111" t="s">
        <v>108</v>
      </c>
      <c r="AB50" s="1112"/>
      <c r="AC50" s="1113"/>
      <c r="AD50" s="400">
        <v>137</v>
      </c>
      <c r="AE50" s="1197">
        <f>+'Anexo Contador'!J153</f>
        <v>0</v>
      </c>
      <c r="AF50" s="1198"/>
      <c r="AG50" s="1198"/>
      <c r="AH50" s="1199"/>
    </row>
    <row r="51" spans="2:34" ht="36" customHeight="1">
      <c r="B51" s="1111" t="s">
        <v>1092</v>
      </c>
      <c r="C51" s="1112"/>
      <c r="D51" s="1112"/>
      <c r="E51" s="1113"/>
      <c r="F51" s="400">
        <v>138</v>
      </c>
      <c r="G51" s="534">
        <f>+'Anexo Contador'!H155</f>
        <v>0</v>
      </c>
      <c r="H51" s="1111" t="s">
        <v>1085</v>
      </c>
      <c r="I51" s="1112"/>
      <c r="J51" s="1112"/>
      <c r="K51" s="1112"/>
      <c r="L51" s="1113"/>
      <c r="M51" s="400">
        <v>139</v>
      </c>
      <c r="N51" s="1197">
        <f>+'Anexo Contador'!J156</f>
        <v>0</v>
      </c>
      <c r="O51" s="1198"/>
      <c r="P51" s="1198"/>
      <c r="Q51" s="1199"/>
      <c r="R51" s="1111" t="s">
        <v>1091</v>
      </c>
      <c r="S51" s="1112"/>
      <c r="T51" s="1112"/>
      <c r="U51" s="1112"/>
      <c r="V51" s="1112"/>
      <c r="W51" s="1113"/>
      <c r="X51" s="400">
        <v>140</v>
      </c>
      <c r="Y51" s="1237" t="str">
        <f>+'Anexo Contador'!H157</f>
        <v xml:space="preserve">  </v>
      </c>
      <c r="Z51" s="1238"/>
      <c r="AA51" s="1111" t="s">
        <v>1087</v>
      </c>
      <c r="AB51" s="1112"/>
      <c r="AC51" s="1113"/>
      <c r="AD51" s="400">
        <v>141</v>
      </c>
      <c r="AE51" s="1197">
        <f>+'Anexo Contador'!H158</f>
        <v>0</v>
      </c>
      <c r="AF51" s="1198"/>
      <c r="AG51" s="1198"/>
      <c r="AH51" s="1199"/>
    </row>
    <row r="52" spans="2:34" ht="13.5" customHeight="1">
      <c r="B52" s="407"/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408"/>
      <c r="N52" s="409"/>
      <c r="O52" s="410"/>
      <c r="P52" s="410"/>
      <c r="Q52" s="410"/>
      <c r="R52" s="410"/>
      <c r="S52" s="410"/>
      <c r="T52" s="411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3"/>
      <c r="AF52" s="413"/>
      <c r="AG52" s="414"/>
      <c r="AH52" s="415"/>
    </row>
    <row r="53" spans="2:34" ht="13.5">
      <c r="B53" s="536" t="s">
        <v>40</v>
      </c>
      <c r="C53" s="182"/>
      <c r="D53" s="182"/>
      <c r="E53" s="182"/>
      <c r="F53" s="182"/>
      <c r="G53" s="537" t="str">
        <f>+Datos!D34</f>
        <v xml:space="preserve"> </v>
      </c>
      <c r="H53" s="1242" t="s">
        <v>41</v>
      </c>
      <c r="I53" s="1242"/>
      <c r="J53" s="1242"/>
      <c r="K53" s="1242"/>
      <c r="L53" s="1242"/>
      <c r="M53" s="183"/>
      <c r="N53" s="401" t="s">
        <v>276</v>
      </c>
      <c r="O53" s="402"/>
      <c r="P53" s="402"/>
      <c r="Q53" s="402"/>
      <c r="R53" s="402"/>
      <c r="S53" s="402"/>
      <c r="T53" s="402"/>
      <c r="U53" s="402"/>
      <c r="V53" s="402"/>
      <c r="W53" s="403"/>
      <c r="X53" s="184"/>
      <c r="Y53" s="96"/>
      <c r="Z53" s="96"/>
      <c r="AA53" s="96"/>
      <c r="AB53" s="96"/>
      <c r="AC53" s="96"/>
      <c r="AD53" s="96"/>
      <c r="AE53" s="96"/>
      <c r="AF53" s="96"/>
      <c r="AG53" s="96"/>
      <c r="AH53" s="274"/>
    </row>
    <row r="54" spans="2:34" ht="13.5" customHeight="1">
      <c r="B54" s="275"/>
      <c r="C54" s="186"/>
      <c r="D54" s="186"/>
      <c r="E54" s="186"/>
      <c r="F54" s="186"/>
      <c r="G54" s="186"/>
      <c r="H54" s="1243"/>
      <c r="I54" s="1243"/>
      <c r="J54" s="1243"/>
      <c r="K54" s="1243"/>
      <c r="L54" s="1243"/>
      <c r="M54" s="187"/>
      <c r="N54" s="1261">
        <f>+Datos!L14</f>
        <v>0</v>
      </c>
      <c r="O54" s="1262"/>
      <c r="P54" s="1262"/>
      <c r="Q54" s="1262"/>
      <c r="R54" s="1262"/>
      <c r="S54" s="1262"/>
      <c r="T54" s="1262"/>
      <c r="U54" s="1262"/>
      <c r="V54" s="1262"/>
      <c r="W54" s="1263"/>
      <c r="X54" s="184"/>
      <c r="Y54" s="96"/>
      <c r="Z54" s="99" t="s">
        <v>42</v>
      </c>
      <c r="AA54" s="96"/>
      <c r="AB54" s="96"/>
      <c r="AC54" s="96"/>
      <c r="AD54" s="1191" t="s">
        <v>1016</v>
      </c>
      <c r="AE54" s="1192"/>
      <c r="AF54" s="1192"/>
      <c r="AG54" s="1192"/>
      <c r="AH54" s="1193"/>
    </row>
    <row r="55" spans="2:34" ht="6" customHeight="1">
      <c r="B55" s="184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274"/>
      <c r="N55" s="1261"/>
      <c r="O55" s="1262"/>
      <c r="P55" s="1262"/>
      <c r="Q55" s="1262"/>
      <c r="R55" s="1262"/>
      <c r="S55" s="1262"/>
      <c r="T55" s="1262"/>
      <c r="U55" s="1262"/>
      <c r="V55" s="1262"/>
      <c r="W55" s="1263"/>
      <c r="X55" s="185"/>
      <c r="Y55" s="186"/>
      <c r="Z55" s="186"/>
      <c r="AA55" s="186"/>
      <c r="AB55" s="186"/>
      <c r="AC55" s="186"/>
      <c r="AD55" s="186"/>
      <c r="AE55" s="186"/>
      <c r="AF55" s="186"/>
      <c r="AG55" s="186"/>
      <c r="AH55" s="187"/>
    </row>
    <row r="56" spans="2:34" ht="13.5">
      <c r="B56" s="535" t="s">
        <v>277</v>
      </c>
      <c r="C56" s="96"/>
      <c r="D56" s="96"/>
      <c r="E56" s="96"/>
      <c r="F56" s="277" t="str">
        <f>+Datos!N44</f>
        <v xml:space="preserve"> </v>
      </c>
      <c r="G56" s="1218" t="s">
        <v>1093</v>
      </c>
      <c r="H56" s="1219"/>
      <c r="I56" s="1219"/>
      <c r="J56" s="529" t="s">
        <v>278</v>
      </c>
      <c r="K56" s="96"/>
      <c r="L56" s="96"/>
      <c r="M56" s="277" t="str">
        <f>+Datos!J45</f>
        <v xml:space="preserve"> </v>
      </c>
      <c r="N56" s="1239" t="str">
        <f xml:space="preserve"> CONCATENATE(Datos!D78,Datos!D79,Datos!D80,Datos!D81,)</f>
        <v xml:space="preserve">    </v>
      </c>
      <c r="O56" s="1240"/>
      <c r="P56" s="1240"/>
      <c r="Q56" s="1240"/>
      <c r="R56" s="1240"/>
      <c r="S56" s="1240"/>
      <c r="T56" s="1240"/>
      <c r="U56" s="1240"/>
      <c r="V56" s="1240"/>
      <c r="W56" s="1241"/>
      <c r="X56" s="195"/>
      <c r="Y56" s="182"/>
      <c r="Z56" s="182"/>
      <c r="AA56" s="182"/>
      <c r="AB56" s="182"/>
      <c r="AC56" s="182"/>
      <c r="AD56" s="182"/>
      <c r="AE56" s="182"/>
      <c r="AF56" s="182"/>
      <c r="AG56" s="182"/>
      <c r="AH56" s="539"/>
    </row>
    <row r="57" spans="2:34" ht="6.75" customHeight="1">
      <c r="B57" s="184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274"/>
      <c r="N57" s="1255" t="str">
        <f>+Datos!L15</f>
        <v xml:space="preserve"> </v>
      </c>
      <c r="O57" s="1256"/>
      <c r="P57" s="1256"/>
      <c r="Q57" s="1256"/>
      <c r="R57" s="1256"/>
      <c r="S57" s="1256"/>
      <c r="T57" s="1256"/>
      <c r="U57" s="1256"/>
      <c r="V57" s="1256"/>
      <c r="W57" s="1257"/>
      <c r="X57" s="394"/>
      <c r="Y57" s="395"/>
      <c r="Z57" s="395"/>
      <c r="AA57" s="395"/>
      <c r="AB57" s="395"/>
      <c r="AC57" s="395"/>
      <c r="AD57" s="395"/>
      <c r="AE57" s="395"/>
      <c r="AF57" s="395"/>
      <c r="AG57" s="395"/>
      <c r="AH57" s="396"/>
    </row>
    <row r="58" spans="2:34" ht="13.5" customHeight="1">
      <c r="B58" s="538" t="s">
        <v>279</v>
      </c>
      <c r="C58" s="186"/>
      <c r="D58" s="186"/>
      <c r="E58" s="186"/>
      <c r="F58" s="186"/>
      <c r="G58" s="186"/>
      <c r="H58" s="186"/>
      <c r="I58" s="1109" t="str">
        <f>+Datos!D45</f>
        <v xml:space="preserve"> </v>
      </c>
      <c r="J58" s="1110"/>
      <c r="K58" s="1110"/>
      <c r="L58" s="1110"/>
      <c r="M58" s="276"/>
      <c r="N58" s="1258"/>
      <c r="O58" s="1259"/>
      <c r="P58" s="1259"/>
      <c r="Q58" s="1259"/>
      <c r="R58" s="1259"/>
      <c r="S58" s="1259"/>
      <c r="T58" s="1259"/>
      <c r="U58" s="1259"/>
      <c r="V58" s="1259"/>
      <c r="W58" s="1260"/>
      <c r="X58" s="185"/>
      <c r="Y58" s="186"/>
      <c r="Z58" s="186"/>
      <c r="AA58" s="186"/>
      <c r="AB58" s="186"/>
      <c r="AC58" s="186"/>
      <c r="AD58" s="186"/>
      <c r="AE58" s="186"/>
      <c r="AF58" s="186"/>
      <c r="AG58" s="186"/>
      <c r="AH58" s="187"/>
    </row>
    <row r="59" spans="2:34"/>
    <row r="60" spans="2:34"/>
    <row r="61" spans="2:34"/>
    <row r="62" spans="2:34"/>
    <row r="63" spans="2:34"/>
    <row r="64" spans="2:3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sheetProtection algorithmName="SHA-512" hashValue="0QB2Rlhe9fk9UuTmhpozgMs2If9DI7JJo2LBB8UT3onsUssgbqIV87A2xRr38oNbU3VAsRGnraYzHCZDb1/oZw==" saltValue="4jqJXCyOSnEsC5NFg2SLjQ==" spinCount="100000" sheet="1" objects="1" scenarios="1" formatCells="0" formatColumns="0" formatRows="0" selectLockedCells="1"/>
  <mergeCells count="231">
    <mergeCell ref="N57:W58"/>
    <mergeCell ref="R25:V25"/>
    <mergeCell ref="N54:W55"/>
    <mergeCell ref="M38:P38"/>
    <mergeCell ref="M39:P39"/>
    <mergeCell ref="AE38:AH38"/>
    <mergeCell ref="W39:Z39"/>
    <mergeCell ref="AA39:AC39"/>
    <mergeCell ref="AE32:AH32"/>
    <mergeCell ref="AE33:AH33"/>
    <mergeCell ref="AE34:AH34"/>
    <mergeCell ref="S39:U39"/>
    <mergeCell ref="AE41:AH41"/>
    <mergeCell ref="AE42:AH42"/>
    <mergeCell ref="AE35:AH35"/>
    <mergeCell ref="AE43:AH43"/>
    <mergeCell ref="AE45:AH45"/>
    <mergeCell ref="AE46:AH46"/>
    <mergeCell ref="AE47:AH47"/>
    <mergeCell ref="AE48:AH48"/>
    <mergeCell ref="AE44:AH44"/>
    <mergeCell ref="AE39:AH39"/>
    <mergeCell ref="S50:U50"/>
    <mergeCell ref="W50:Z50"/>
    <mergeCell ref="G56:I56"/>
    <mergeCell ref="L6:M6"/>
    <mergeCell ref="K14:AB14"/>
    <mergeCell ref="K16:P16"/>
    <mergeCell ref="K18:V18"/>
    <mergeCell ref="K26:P28"/>
    <mergeCell ref="B44:K44"/>
    <mergeCell ref="M44:P44"/>
    <mergeCell ref="B45:B48"/>
    <mergeCell ref="AA51:AC51"/>
    <mergeCell ref="Y51:Z51"/>
    <mergeCell ref="N51:Q51"/>
    <mergeCell ref="B51:E51"/>
    <mergeCell ref="H51:L51"/>
    <mergeCell ref="R51:W51"/>
    <mergeCell ref="N56:W56"/>
    <mergeCell ref="G50:J50"/>
    <mergeCell ref="H53:L54"/>
    <mergeCell ref="R32:R37"/>
    <mergeCell ref="R38:R39"/>
    <mergeCell ref="S38:U38"/>
    <mergeCell ref="W38:Z38"/>
    <mergeCell ref="K50:M50"/>
    <mergeCell ref="X28:AB28"/>
    <mergeCell ref="AE50:AH50"/>
    <mergeCell ref="C45:K45"/>
    <mergeCell ref="M45:P45"/>
    <mergeCell ref="C46:K46"/>
    <mergeCell ref="M46:P46"/>
    <mergeCell ref="C47:K47"/>
    <mergeCell ref="M47:P47"/>
    <mergeCell ref="C48:K48"/>
    <mergeCell ref="M48:P48"/>
    <mergeCell ref="R45:AC45"/>
    <mergeCell ref="R46:AC46"/>
    <mergeCell ref="R47:AC47"/>
    <mergeCell ref="R48:AC48"/>
    <mergeCell ref="Q32:Q48"/>
    <mergeCell ref="R44:AC44"/>
    <mergeCell ref="S32:AC32"/>
    <mergeCell ref="AA38:AC38"/>
    <mergeCell ref="B50:E50"/>
    <mergeCell ref="S33:AC33"/>
    <mergeCell ref="B32:B36"/>
    <mergeCell ref="M32:P32"/>
    <mergeCell ref="M33:P33"/>
    <mergeCell ref="M34:P34"/>
    <mergeCell ref="AA50:AC50"/>
    <mergeCell ref="AD54:AH54"/>
    <mergeCell ref="R41:AC41"/>
    <mergeCell ref="AD25:AH25"/>
    <mergeCell ref="R26:V26"/>
    <mergeCell ref="X26:AB26"/>
    <mergeCell ref="AD26:AH26"/>
    <mergeCell ref="R27:V27"/>
    <mergeCell ref="AA31:AC31"/>
    <mergeCell ref="AE31:AH31"/>
    <mergeCell ref="S31:U31"/>
    <mergeCell ref="W31:Z31"/>
    <mergeCell ref="AD27:AH27"/>
    <mergeCell ref="AD28:AH28"/>
    <mergeCell ref="R29:V29"/>
    <mergeCell ref="X29:AB29"/>
    <mergeCell ref="AD29:AH29"/>
    <mergeCell ref="AE30:AH30"/>
    <mergeCell ref="AA30:AC30"/>
    <mergeCell ref="S30:U30"/>
    <mergeCell ref="W30:Z30"/>
    <mergeCell ref="AE51:AH51"/>
    <mergeCell ref="R43:AC43"/>
    <mergeCell ref="S34:AC34"/>
    <mergeCell ref="O50:R50"/>
    <mergeCell ref="W2:AB3"/>
    <mergeCell ref="AC2:AH3"/>
    <mergeCell ref="E4:F4"/>
    <mergeCell ref="U4:AF5"/>
    <mergeCell ref="E5:Q5"/>
    <mergeCell ref="W9:AB9"/>
    <mergeCell ref="AC9:AH9"/>
    <mergeCell ref="T9:U9"/>
    <mergeCell ref="H2:V3"/>
    <mergeCell ref="B11:F11"/>
    <mergeCell ref="G11:K11"/>
    <mergeCell ref="M11:P11"/>
    <mergeCell ref="B6:B10"/>
    <mergeCell ref="C7:K7"/>
    <mergeCell ref="N7:R7"/>
    <mergeCell ref="S7:W7"/>
    <mergeCell ref="X7:AC7"/>
    <mergeCell ref="AD7:AH7"/>
    <mergeCell ref="AG8:AH8"/>
    <mergeCell ref="C9:K9"/>
    <mergeCell ref="L9:M9"/>
    <mergeCell ref="C10:K10"/>
    <mergeCell ref="L10:M10"/>
    <mergeCell ref="AC10:AH10"/>
    <mergeCell ref="Q11:T11"/>
    <mergeCell ref="V11:Y11"/>
    <mergeCell ref="Z11:AC11"/>
    <mergeCell ref="AE11:AH11"/>
    <mergeCell ref="AC12:AH12"/>
    <mergeCell ref="AD14:AH14"/>
    <mergeCell ref="AD15:AH15"/>
    <mergeCell ref="AD16:AH16"/>
    <mergeCell ref="AD17:AH17"/>
    <mergeCell ref="AD18:AH18"/>
    <mergeCell ref="R15:V15"/>
    <mergeCell ref="R16:V16"/>
    <mergeCell ref="R17:V17"/>
    <mergeCell ref="X15:AB15"/>
    <mergeCell ref="X16:AB16"/>
    <mergeCell ref="X17:AB17"/>
    <mergeCell ref="X18:AB18"/>
    <mergeCell ref="I58:L58"/>
    <mergeCell ref="C25:J25"/>
    <mergeCell ref="C26:J26"/>
    <mergeCell ref="C35:K35"/>
    <mergeCell ref="C27:J27"/>
    <mergeCell ref="C28:J28"/>
    <mergeCell ref="C29:J29"/>
    <mergeCell ref="L25:P25"/>
    <mergeCell ref="K30:M30"/>
    <mergeCell ref="O30:R30"/>
    <mergeCell ref="K31:M31"/>
    <mergeCell ref="O31:R31"/>
    <mergeCell ref="G30:J30"/>
    <mergeCell ref="G31:J31"/>
    <mergeCell ref="C30:E30"/>
    <mergeCell ref="C31:E31"/>
    <mergeCell ref="C32:K32"/>
    <mergeCell ref="C33:K33"/>
    <mergeCell ref="C34:K34"/>
    <mergeCell ref="C38:K38"/>
    <mergeCell ref="R28:V28"/>
    <mergeCell ref="S35:AC35"/>
    <mergeCell ref="S36:AC36"/>
    <mergeCell ref="S37:AC37"/>
    <mergeCell ref="R42:AC42"/>
    <mergeCell ref="X22:AB22"/>
    <mergeCell ref="X25:AB25"/>
    <mergeCell ref="L15:P15"/>
    <mergeCell ref="L17:P17"/>
    <mergeCell ref="AD13:AH13"/>
    <mergeCell ref="W12:AB12"/>
    <mergeCell ref="X13:AB13"/>
    <mergeCell ref="Q12:V12"/>
    <mergeCell ref="R13:V13"/>
    <mergeCell ref="AD22:AH22"/>
    <mergeCell ref="L23:P23"/>
    <mergeCell ref="R23:V23"/>
    <mergeCell ref="X23:AB23"/>
    <mergeCell ref="AD23:AH23"/>
    <mergeCell ref="L24:P24"/>
    <mergeCell ref="R24:V24"/>
    <mergeCell ref="X24:AB24"/>
    <mergeCell ref="AD24:AH24"/>
    <mergeCell ref="AE36:AH36"/>
    <mergeCell ref="AE37:AH37"/>
    <mergeCell ref="X27:AB27"/>
    <mergeCell ref="R22:V22"/>
    <mergeCell ref="X19:AB19"/>
    <mergeCell ref="AD19:AH19"/>
    <mergeCell ref="L20:P20"/>
    <mergeCell ref="X20:AB20"/>
    <mergeCell ref="AD20:AH20"/>
    <mergeCell ref="L21:P21"/>
    <mergeCell ref="R21:V21"/>
    <mergeCell ref="X21:AB21"/>
    <mergeCell ref="AD21:AH21"/>
    <mergeCell ref="R19:V19"/>
    <mergeCell ref="R20:V20"/>
    <mergeCell ref="M36:P36"/>
    <mergeCell ref="C36:K36"/>
    <mergeCell ref="B12:B31"/>
    <mergeCell ref="K12:P12"/>
    <mergeCell ref="L13:P13"/>
    <mergeCell ref="C12:J12"/>
    <mergeCell ref="C13:J13"/>
    <mergeCell ref="L19:P19"/>
    <mergeCell ref="D19:J19"/>
    <mergeCell ref="D20:J20"/>
    <mergeCell ref="D21:J21"/>
    <mergeCell ref="C22:C24"/>
    <mergeCell ref="L22:P22"/>
    <mergeCell ref="D22:J22"/>
    <mergeCell ref="D23:J23"/>
    <mergeCell ref="D24:J24"/>
    <mergeCell ref="C14:J14"/>
    <mergeCell ref="C15:J15"/>
    <mergeCell ref="C16:J16"/>
    <mergeCell ref="C17:J17"/>
    <mergeCell ref="C18:J18"/>
    <mergeCell ref="C19:C21"/>
    <mergeCell ref="L29:P29"/>
    <mergeCell ref="M35:P35"/>
    <mergeCell ref="B37:B43"/>
    <mergeCell ref="C37:K37"/>
    <mergeCell ref="C40:K40"/>
    <mergeCell ref="M40:P40"/>
    <mergeCell ref="M41:P41"/>
    <mergeCell ref="M42:P42"/>
    <mergeCell ref="M43:P43"/>
    <mergeCell ref="C41:K41"/>
    <mergeCell ref="C42:K42"/>
    <mergeCell ref="C43:K43"/>
    <mergeCell ref="C39:K39"/>
    <mergeCell ref="M37:P37"/>
  </mergeCells>
  <printOptions horizontalCentered="1" verticalCentered="1"/>
  <pageMargins left="0" right="0" top="0" bottom="0" header="0" footer="0.39370078740157483"/>
  <pageSetup scale="76" orientation="portrait" verticalDpi="4294967293" r:id="rId1"/>
  <headerFooter scaleWithDoc="0"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67"/>
  <sheetViews>
    <sheetView showGridLines="0" zoomScaleNormal="100" workbookViewId="0">
      <selection activeCell="T15" sqref="T15"/>
    </sheetView>
  </sheetViews>
  <sheetFormatPr baseColWidth="10" defaultRowHeight="12.75"/>
  <cols>
    <col min="1" max="1" width="3.7109375" customWidth="1"/>
    <col min="2" max="2" width="12.7109375" customWidth="1"/>
    <col min="3" max="3" width="1.7109375" customWidth="1"/>
    <col min="4" max="4" width="12.7109375" customWidth="1"/>
    <col min="5" max="5" width="1.7109375" customWidth="1"/>
    <col min="6" max="6" width="12.7109375" customWidth="1"/>
    <col min="7" max="7" width="1.7109375" customWidth="1"/>
    <col min="8" max="8" width="12.7109375" customWidth="1"/>
    <col min="9" max="9" width="1.7109375" customWidth="1"/>
    <col min="10" max="10" width="12.7109375" customWidth="1"/>
    <col min="11" max="11" width="1.7109375" customWidth="1"/>
    <col min="12" max="12" width="12.7109375" customWidth="1"/>
    <col min="13" max="13" width="1.7109375" customWidth="1"/>
    <col min="14" max="14" width="12.7109375" customWidth="1"/>
    <col min="15" max="15" width="1.7109375" customWidth="1"/>
    <col min="16" max="16" width="12.7109375" customWidth="1"/>
    <col min="17" max="17" width="1.7109375" customWidth="1"/>
    <col min="18" max="18" width="12.7109375" customWidth="1"/>
    <col min="19" max="19" width="1.7109375" customWidth="1"/>
    <col min="20" max="20" width="12.7109375" customWidth="1"/>
    <col min="21" max="21" width="1.7109375" customWidth="1"/>
    <col min="22" max="25" width="12.7109375" customWidth="1"/>
    <col min="26" max="26" width="1.7109375" customWidth="1"/>
    <col min="27" max="27" width="10.5703125" customWidth="1"/>
    <col min="28" max="29" width="12.7109375" customWidth="1"/>
    <col min="30" max="30" width="5.7109375" customWidth="1"/>
    <col min="31" max="31" width="13" customWidth="1"/>
    <col min="32" max="32" width="2.7109375" customWidth="1"/>
  </cols>
  <sheetData>
    <row r="1" spans="1:35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</row>
    <row r="2" spans="1:35">
      <c r="A2" s="435"/>
      <c r="B2" s="436"/>
      <c r="C2" s="436"/>
      <c r="D2" s="435"/>
      <c r="E2" s="436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290"/>
      <c r="AH2" s="290"/>
      <c r="AI2" s="290"/>
    </row>
    <row r="3" spans="1:35" ht="18.75" customHeight="1">
      <c r="A3" s="435"/>
      <c r="B3" s="437" t="str">
        <f>+Datos!D12</f>
        <v xml:space="preserve"> </v>
      </c>
      <c r="C3" s="438"/>
      <c r="D3" s="439" t="str">
        <f>+Datos!D13</f>
        <v xml:space="preserve"> </v>
      </c>
      <c r="E3" s="440"/>
      <c r="F3" s="441" t="str">
        <f>+Datos!D14</f>
        <v xml:space="preserve"> </v>
      </c>
      <c r="G3" s="440"/>
      <c r="H3" s="441" t="str">
        <f>+Datos!D15</f>
        <v xml:space="preserve"> </v>
      </c>
      <c r="I3" s="442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43" t="s">
        <v>1102</v>
      </c>
      <c r="AF3" s="435"/>
      <c r="AG3" s="290"/>
      <c r="AH3" s="290"/>
      <c r="AI3" s="290"/>
    </row>
    <row r="4" spans="1:35" ht="3.75" customHeight="1">
      <c r="A4" s="435"/>
      <c r="B4" s="438"/>
      <c r="C4" s="444"/>
      <c r="D4" s="445"/>
      <c r="E4" s="438"/>
      <c r="F4" s="445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  <c r="AF4" s="435"/>
      <c r="AG4" s="290"/>
      <c r="AH4" s="290"/>
      <c r="AI4" s="290"/>
    </row>
    <row r="5" spans="1:35">
      <c r="A5" s="435"/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43" t="s">
        <v>16</v>
      </c>
      <c r="AF5" s="435"/>
      <c r="AG5" s="290"/>
      <c r="AH5" s="290"/>
      <c r="AI5" s="290"/>
    </row>
    <row r="6" spans="1:35" ht="6" customHeight="1">
      <c r="A6" s="435"/>
      <c r="B6" s="438"/>
      <c r="C6" s="438"/>
      <c r="D6" s="438"/>
      <c r="E6" s="438"/>
      <c r="F6" s="1300" t="s">
        <v>1177</v>
      </c>
      <c r="G6" s="1300"/>
      <c r="H6" s="1300"/>
      <c r="I6" s="1300"/>
      <c r="J6" s="1300"/>
      <c r="K6" s="1300"/>
      <c r="L6" s="1300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38"/>
      <c r="Z6" s="438"/>
      <c r="AA6" s="438"/>
      <c r="AB6" s="438"/>
      <c r="AC6" s="438"/>
      <c r="AD6" s="438"/>
      <c r="AE6" s="438"/>
      <c r="AF6" s="435"/>
      <c r="AG6" s="290"/>
      <c r="AH6" s="290"/>
      <c r="AI6" s="290"/>
    </row>
    <row r="7" spans="1:35">
      <c r="A7" s="435"/>
      <c r="B7" s="446" t="str">
        <f>+Datos!D11</f>
        <v xml:space="preserve"> </v>
      </c>
      <c r="C7" s="441" t="str">
        <f>+Datos!J11</f>
        <v xml:space="preserve"> </v>
      </c>
      <c r="D7" s="442"/>
      <c r="E7" s="438"/>
      <c r="F7" s="1300"/>
      <c r="G7" s="1300"/>
      <c r="H7" s="1300"/>
      <c r="I7" s="1300"/>
      <c r="J7" s="1300"/>
      <c r="K7" s="1300"/>
      <c r="L7" s="1300"/>
      <c r="M7" s="438"/>
      <c r="N7" s="438"/>
      <c r="O7" s="438"/>
      <c r="P7" s="438"/>
      <c r="Q7" s="438"/>
      <c r="R7" s="438"/>
      <c r="S7" s="438"/>
      <c r="T7" s="438"/>
      <c r="U7" s="438"/>
      <c r="V7" s="438"/>
      <c r="W7" s="438"/>
      <c r="X7" s="438"/>
      <c r="Y7" s="438"/>
      <c r="Z7" s="438"/>
      <c r="AA7" s="438"/>
      <c r="AB7" s="438"/>
      <c r="AC7" s="438"/>
      <c r="AD7" s="438"/>
      <c r="AE7" s="443">
        <f>+Datos!D10</f>
        <v>2025</v>
      </c>
      <c r="AF7" s="435"/>
      <c r="AG7" s="290"/>
      <c r="AH7" s="290"/>
      <c r="AI7" s="290"/>
    </row>
    <row r="8" spans="1:35" ht="5.25" customHeight="1">
      <c r="A8" s="435"/>
      <c r="B8" s="438"/>
      <c r="C8" s="445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5"/>
      <c r="AG8" s="290"/>
      <c r="AH8" s="290"/>
      <c r="AI8" s="290"/>
    </row>
    <row r="9" spans="1:35" ht="16.5">
      <c r="A9" s="435"/>
      <c r="B9" s="1301" t="s">
        <v>1178</v>
      </c>
      <c r="C9" s="1302"/>
      <c r="D9" s="1302"/>
      <c r="E9" s="1302"/>
      <c r="F9" s="1302"/>
      <c r="G9" s="1302"/>
      <c r="H9" s="1302"/>
      <c r="I9" s="1302"/>
      <c r="J9" s="1302"/>
      <c r="K9" s="1302"/>
      <c r="L9" s="1302"/>
      <c r="M9" s="1302"/>
      <c r="N9" s="1302"/>
      <c r="O9" s="1302"/>
      <c r="P9" s="1303"/>
      <c r="Q9" s="438"/>
      <c r="R9" s="438"/>
      <c r="S9" s="438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5"/>
      <c r="AG9" s="290"/>
      <c r="AH9" s="290"/>
      <c r="AI9" s="290"/>
    </row>
    <row r="10" spans="1:35" ht="5.25" customHeight="1">
      <c r="A10" s="435"/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5"/>
      <c r="AG10" s="290"/>
      <c r="AH10" s="290"/>
      <c r="AI10" s="290"/>
    </row>
    <row r="11" spans="1:35" ht="15">
      <c r="A11" s="435"/>
      <c r="B11" s="1308" t="s">
        <v>1182</v>
      </c>
      <c r="C11" s="1309"/>
      <c r="D11" s="1309"/>
      <c r="E11" s="1309"/>
      <c r="F11" s="1309"/>
      <c r="G11" s="1309"/>
      <c r="H11" s="1309"/>
      <c r="I11" s="1309"/>
      <c r="J11" s="1309"/>
      <c r="K11" s="1309"/>
      <c r="L11" s="1309"/>
      <c r="M11" s="1309"/>
      <c r="N11" s="1310"/>
      <c r="O11" s="438"/>
      <c r="P11" s="1308" t="s">
        <v>1183</v>
      </c>
      <c r="Q11" s="1309"/>
      <c r="R11" s="1309"/>
      <c r="S11" s="1309"/>
      <c r="T11" s="1310"/>
      <c r="U11" s="438"/>
      <c r="V11" s="1308" t="s">
        <v>1194</v>
      </c>
      <c r="W11" s="1309"/>
      <c r="X11" s="1309"/>
      <c r="Y11" s="1309"/>
      <c r="Z11" s="1309"/>
      <c r="AA11" s="1309"/>
      <c r="AB11" s="1309"/>
      <c r="AC11" s="1310"/>
      <c r="AD11" s="438"/>
      <c r="AE11" s="438"/>
      <c r="AF11" s="435"/>
      <c r="AG11" s="290"/>
      <c r="AH11" s="290"/>
      <c r="AI11" s="290"/>
    </row>
    <row r="12" spans="1:35" ht="5.25" customHeight="1">
      <c r="A12" s="435"/>
      <c r="B12" s="438"/>
      <c r="C12" s="438"/>
      <c r="D12" s="438"/>
      <c r="E12" s="438"/>
      <c r="F12" s="438"/>
      <c r="G12" s="438"/>
      <c r="H12" s="438"/>
      <c r="I12" s="438"/>
      <c r="J12" s="438"/>
      <c r="K12" s="438"/>
      <c r="L12" s="438"/>
      <c r="M12" s="438"/>
      <c r="N12" s="438"/>
      <c r="O12" s="438"/>
      <c r="P12" s="438"/>
      <c r="Q12" s="438"/>
      <c r="R12" s="438"/>
      <c r="S12" s="438"/>
      <c r="T12" s="438"/>
      <c r="U12" s="438"/>
      <c r="V12" s="438"/>
      <c r="W12" s="438"/>
      <c r="X12" s="438"/>
      <c r="Y12" s="438"/>
      <c r="Z12" s="438"/>
      <c r="AA12" s="438"/>
      <c r="AB12" s="438"/>
      <c r="AC12" s="438"/>
      <c r="AD12" s="438"/>
      <c r="AE12" s="438"/>
      <c r="AF12" s="435"/>
      <c r="AG12" s="290"/>
      <c r="AH12" s="290"/>
      <c r="AI12" s="290"/>
    </row>
    <row r="13" spans="1:35" ht="38.25">
      <c r="A13" s="435"/>
      <c r="B13" s="1304" t="s">
        <v>49</v>
      </c>
      <c r="C13" s="1305"/>
      <c r="D13" s="1306"/>
      <c r="E13" s="447"/>
      <c r="F13" s="589" t="s">
        <v>984</v>
      </c>
      <c r="G13" s="447"/>
      <c r="H13" s="589" t="s">
        <v>985</v>
      </c>
      <c r="I13" s="447"/>
      <c r="J13" s="448" t="s">
        <v>972</v>
      </c>
      <c r="K13" s="447"/>
      <c r="L13" s="448" t="s">
        <v>986</v>
      </c>
      <c r="M13" s="447"/>
      <c r="N13" s="589" t="s">
        <v>987</v>
      </c>
      <c r="O13" s="447"/>
      <c r="P13" s="590" t="s">
        <v>1179</v>
      </c>
      <c r="Q13" s="447"/>
      <c r="R13" s="590" t="s">
        <v>1180</v>
      </c>
      <c r="S13" s="447"/>
      <c r="T13" s="591" t="s">
        <v>1181</v>
      </c>
      <c r="U13" s="447"/>
      <c r="V13" s="592" t="s">
        <v>1190</v>
      </c>
      <c r="W13" s="592" t="s">
        <v>1191</v>
      </c>
      <c r="X13" s="592" t="s">
        <v>1192</v>
      </c>
      <c r="Y13" s="592" t="s">
        <v>1193</v>
      </c>
      <c r="Z13" s="447"/>
      <c r="AA13" s="592" t="s">
        <v>1113</v>
      </c>
      <c r="AB13" s="592" t="s">
        <v>1195</v>
      </c>
      <c r="AC13" s="592" t="s">
        <v>993</v>
      </c>
      <c r="AD13" s="447"/>
      <c r="AE13" s="449" t="s">
        <v>147</v>
      </c>
      <c r="AF13" s="435"/>
      <c r="AG13" s="290"/>
      <c r="AH13" s="290"/>
      <c r="AI13" s="290"/>
    </row>
    <row r="14" spans="1:35" ht="5.25" customHeight="1">
      <c r="A14" s="435"/>
      <c r="B14" s="438"/>
      <c r="C14" s="438"/>
      <c r="D14" s="438"/>
      <c r="E14" s="438"/>
      <c r="F14" s="438"/>
      <c r="G14" s="438"/>
      <c r="H14" s="438"/>
      <c r="I14" s="438"/>
      <c r="J14" s="438"/>
      <c r="K14" s="438"/>
      <c r="L14" s="438"/>
      <c r="M14" s="438"/>
      <c r="N14" s="438"/>
      <c r="O14" s="438"/>
      <c r="P14" s="438"/>
      <c r="Q14" s="438"/>
      <c r="R14" s="438"/>
      <c r="S14" s="438"/>
      <c r="T14" s="438"/>
      <c r="U14" s="438"/>
      <c r="V14" s="438"/>
      <c r="W14" s="438"/>
      <c r="X14" s="438"/>
      <c r="Y14" s="438"/>
      <c r="Z14" s="438"/>
      <c r="AA14" s="438"/>
      <c r="AB14" s="438"/>
      <c r="AC14" s="438"/>
      <c r="AD14" s="438"/>
      <c r="AE14" s="438"/>
      <c r="AF14" s="435"/>
      <c r="AG14" s="290"/>
      <c r="AH14" s="290"/>
      <c r="AI14" s="290"/>
    </row>
    <row r="15" spans="1:35" ht="13.5">
      <c r="A15" s="587">
        <v>1</v>
      </c>
      <c r="B15" s="1307"/>
      <c r="C15" s="1307"/>
      <c r="D15" s="1307"/>
      <c r="E15" s="435"/>
      <c r="F15" s="593"/>
      <c r="G15" s="451"/>
      <c r="H15" s="593"/>
      <c r="I15" s="451"/>
      <c r="J15" s="593"/>
      <c r="K15" s="451"/>
      <c r="L15" s="593"/>
      <c r="M15" s="438"/>
      <c r="N15" s="594">
        <f>+H15+J15+L15</f>
        <v>0</v>
      </c>
      <c r="O15" s="438"/>
      <c r="P15" s="595">
        <f>ROUND(N15*5.81%,-3)</f>
        <v>0</v>
      </c>
      <c r="Q15" s="438"/>
      <c r="R15" s="595">
        <f>+N15+P15</f>
        <v>0</v>
      </c>
      <c r="S15" s="451"/>
      <c r="T15" s="596"/>
      <c r="U15" s="451"/>
      <c r="V15" s="597" t="e">
        <f>VLOOKUP(F15,$H$52:$R$121,5,FALSE)</f>
        <v>#N/A</v>
      </c>
      <c r="W15" s="597" t="e">
        <f>VLOOKUP(F15,$H$52:$R$121,7,FALSE)</f>
        <v>#N/A</v>
      </c>
      <c r="X15" s="597" t="e">
        <f>VLOOKUP(F15,$H$52:$R$121,9,FALSE)</f>
        <v>#N/A</v>
      </c>
      <c r="Y15" s="597" t="e">
        <f>VLOOKUP(F15,$H$52:$R$121,11,FALSE)</f>
        <v>#N/A</v>
      </c>
      <c r="Z15" s="451"/>
      <c r="AA15" s="598"/>
      <c r="AB15" s="599">
        <f>IF(AA15="Acciones",ROUND(H15*V15,-3),IF(AA15="Urbano",ROUND(+H15*W15,-3),IF(AA15="Agropecuario",ROUND(H15*X15,-3),IF(AA15="Rural",ROUND(H15*Y15,-3),0))))</f>
        <v>0</v>
      </c>
      <c r="AC15" s="599">
        <f>+AB15+J15</f>
        <v>0</v>
      </c>
      <c r="AD15" s="556"/>
      <c r="AE15" s="594">
        <f>IF(AD15="A",R15,IF(AD15="B",T15,IF(AD15="c",AC15,0)))</f>
        <v>0</v>
      </c>
      <c r="AF15" s="452" t="s">
        <v>848</v>
      </c>
      <c r="AG15" s="290"/>
      <c r="AH15" s="290"/>
      <c r="AI15" s="290"/>
    </row>
    <row r="16" spans="1:35" ht="13.5">
      <c r="A16" s="587">
        <v>2</v>
      </c>
      <c r="B16" s="1307"/>
      <c r="C16" s="1307"/>
      <c r="D16" s="1307"/>
      <c r="E16" s="435"/>
      <c r="F16" s="593"/>
      <c r="G16" s="451"/>
      <c r="H16" s="593"/>
      <c r="I16" s="451"/>
      <c r="J16" s="593"/>
      <c r="K16" s="451"/>
      <c r="L16" s="593"/>
      <c r="M16" s="438"/>
      <c r="N16" s="594">
        <f t="shared" ref="N16:N29" si="0">+H16+J16+L16</f>
        <v>0</v>
      </c>
      <c r="O16" s="438"/>
      <c r="P16" s="595">
        <f t="shared" ref="P16:P29" si="1">ROUND(N16*5.81%,-3)</f>
        <v>0</v>
      </c>
      <c r="Q16" s="438"/>
      <c r="R16" s="595">
        <f t="shared" ref="R16:R29" si="2">+N16+P16</f>
        <v>0</v>
      </c>
      <c r="S16" s="451"/>
      <c r="T16" s="596"/>
      <c r="U16" s="451"/>
      <c r="V16" s="597" t="e">
        <f t="shared" ref="V16:V29" si="3">VLOOKUP(F16,$H$52:$R$121,5,FALSE)</f>
        <v>#N/A</v>
      </c>
      <c r="W16" s="597" t="e">
        <f t="shared" ref="W16:W29" si="4">VLOOKUP(F16,$H$52:$R$121,7,FALSE)</f>
        <v>#N/A</v>
      </c>
      <c r="X16" s="597" t="e">
        <f t="shared" ref="X16:X29" si="5">VLOOKUP(F16,$H$52:$R$121,9,FALSE)</f>
        <v>#N/A</v>
      </c>
      <c r="Y16" s="597" t="e">
        <f t="shared" ref="Y16:Y29" si="6">VLOOKUP(F16,$H$52:$R$121,11,FALSE)</f>
        <v>#N/A</v>
      </c>
      <c r="Z16" s="451"/>
      <c r="AA16" s="598"/>
      <c r="AB16" s="599">
        <f t="shared" ref="AB16:AB29" si="7">IF(AA16="Acciones",ROUND(H16*V16,-3),IF(AA16="Urbano",ROUND(+H16*W16,-3),IF(AA16="Agropecuario",ROUND(H16*X16,-3),IF(AA16="Rural",ROUND(H16*Y16,-3),0))))</f>
        <v>0</v>
      </c>
      <c r="AC16" s="599">
        <f>+AB16+J16</f>
        <v>0</v>
      </c>
      <c r="AD16" s="556"/>
      <c r="AE16" s="594">
        <f t="shared" ref="AE16:AE29" si="8">IF(AD16="A",R16,IF(AD16="B",T16,IF(AD16="c",AC16,0)))</f>
        <v>0</v>
      </c>
      <c r="AF16" s="452" t="s">
        <v>849</v>
      </c>
      <c r="AG16" s="290"/>
      <c r="AH16" s="290"/>
      <c r="AI16" s="290"/>
    </row>
    <row r="17" spans="1:35" ht="13.5">
      <c r="A17" s="587">
        <v>3</v>
      </c>
      <c r="B17" s="1307"/>
      <c r="C17" s="1307"/>
      <c r="D17" s="1307"/>
      <c r="E17" s="435"/>
      <c r="F17" s="593"/>
      <c r="G17" s="451"/>
      <c r="H17" s="593"/>
      <c r="I17" s="451"/>
      <c r="J17" s="593"/>
      <c r="K17" s="451"/>
      <c r="L17" s="593"/>
      <c r="M17" s="438"/>
      <c r="N17" s="594">
        <f t="shared" si="0"/>
        <v>0</v>
      </c>
      <c r="O17" s="438"/>
      <c r="P17" s="595">
        <f t="shared" si="1"/>
        <v>0</v>
      </c>
      <c r="Q17" s="438"/>
      <c r="R17" s="595">
        <f t="shared" si="2"/>
        <v>0</v>
      </c>
      <c r="S17" s="451"/>
      <c r="T17" s="596"/>
      <c r="U17" s="451"/>
      <c r="V17" s="597" t="e">
        <f t="shared" si="3"/>
        <v>#N/A</v>
      </c>
      <c r="W17" s="597" t="e">
        <f t="shared" si="4"/>
        <v>#N/A</v>
      </c>
      <c r="X17" s="597" t="e">
        <f t="shared" si="5"/>
        <v>#N/A</v>
      </c>
      <c r="Y17" s="597" t="e">
        <f t="shared" si="6"/>
        <v>#N/A</v>
      </c>
      <c r="Z17" s="451"/>
      <c r="AA17" s="598"/>
      <c r="AB17" s="599">
        <f t="shared" si="7"/>
        <v>0</v>
      </c>
      <c r="AC17" s="599">
        <f t="shared" ref="AC17:AC29" si="9">+AB17+J17</f>
        <v>0</v>
      </c>
      <c r="AD17" s="556"/>
      <c r="AE17" s="594">
        <f t="shared" si="8"/>
        <v>0</v>
      </c>
      <c r="AF17" s="452" t="s">
        <v>850</v>
      </c>
      <c r="AG17" s="290"/>
      <c r="AH17" s="290"/>
      <c r="AI17" s="290"/>
    </row>
    <row r="18" spans="1:35" ht="13.5">
      <c r="A18" s="587">
        <v>4</v>
      </c>
      <c r="B18" s="1307"/>
      <c r="C18" s="1307"/>
      <c r="D18" s="1307"/>
      <c r="E18" s="435"/>
      <c r="F18" s="593"/>
      <c r="G18" s="451"/>
      <c r="H18" s="593"/>
      <c r="I18" s="451"/>
      <c r="J18" s="593"/>
      <c r="K18" s="451"/>
      <c r="L18" s="593"/>
      <c r="M18" s="438"/>
      <c r="N18" s="594">
        <f t="shared" si="0"/>
        <v>0</v>
      </c>
      <c r="O18" s="438"/>
      <c r="P18" s="595">
        <f t="shared" si="1"/>
        <v>0</v>
      </c>
      <c r="Q18" s="438"/>
      <c r="R18" s="595">
        <f t="shared" si="2"/>
        <v>0</v>
      </c>
      <c r="S18" s="451"/>
      <c r="T18" s="596"/>
      <c r="U18" s="451"/>
      <c r="V18" s="597" t="e">
        <f t="shared" si="3"/>
        <v>#N/A</v>
      </c>
      <c r="W18" s="597" t="e">
        <f t="shared" si="4"/>
        <v>#N/A</v>
      </c>
      <c r="X18" s="597" t="e">
        <f t="shared" si="5"/>
        <v>#N/A</v>
      </c>
      <c r="Y18" s="597" t="e">
        <f t="shared" si="6"/>
        <v>#N/A</v>
      </c>
      <c r="Z18" s="451"/>
      <c r="AA18" s="598"/>
      <c r="AB18" s="599">
        <f t="shared" si="7"/>
        <v>0</v>
      </c>
      <c r="AC18" s="599">
        <f t="shared" si="9"/>
        <v>0</v>
      </c>
      <c r="AD18" s="556"/>
      <c r="AE18" s="594">
        <f t="shared" si="8"/>
        <v>0</v>
      </c>
      <c r="AF18" s="435"/>
      <c r="AG18" s="290"/>
      <c r="AH18" s="290"/>
      <c r="AI18" s="290"/>
    </row>
    <row r="19" spans="1:35" ht="13.5">
      <c r="A19" s="587">
        <v>5</v>
      </c>
      <c r="B19" s="1311"/>
      <c r="C19" s="1307"/>
      <c r="D19" s="1307"/>
      <c r="E19" s="435"/>
      <c r="F19" s="593"/>
      <c r="G19" s="451"/>
      <c r="H19" s="593"/>
      <c r="I19" s="451"/>
      <c r="J19" s="593"/>
      <c r="K19" s="451"/>
      <c r="L19" s="593"/>
      <c r="M19" s="438"/>
      <c r="N19" s="594">
        <f t="shared" si="0"/>
        <v>0</v>
      </c>
      <c r="O19" s="438"/>
      <c r="P19" s="595">
        <f t="shared" si="1"/>
        <v>0</v>
      </c>
      <c r="Q19" s="438"/>
      <c r="R19" s="595">
        <f t="shared" si="2"/>
        <v>0</v>
      </c>
      <c r="S19" s="451"/>
      <c r="T19" s="596"/>
      <c r="U19" s="451"/>
      <c r="V19" s="597" t="e">
        <f t="shared" si="3"/>
        <v>#N/A</v>
      </c>
      <c r="W19" s="597" t="e">
        <f t="shared" si="4"/>
        <v>#N/A</v>
      </c>
      <c r="X19" s="597" t="e">
        <f t="shared" si="5"/>
        <v>#N/A</v>
      </c>
      <c r="Y19" s="597" t="e">
        <f t="shared" si="6"/>
        <v>#N/A</v>
      </c>
      <c r="Z19" s="451"/>
      <c r="AA19" s="598"/>
      <c r="AB19" s="599">
        <f t="shared" si="7"/>
        <v>0</v>
      </c>
      <c r="AC19" s="599">
        <f t="shared" si="9"/>
        <v>0</v>
      </c>
      <c r="AD19" s="556"/>
      <c r="AE19" s="594">
        <f t="shared" si="8"/>
        <v>0</v>
      </c>
      <c r="AF19" s="435"/>
      <c r="AG19" s="290"/>
      <c r="AH19" s="290"/>
      <c r="AI19" s="290"/>
    </row>
    <row r="20" spans="1:35" ht="13.5">
      <c r="A20" s="587">
        <v>6</v>
      </c>
      <c r="B20" s="1307"/>
      <c r="C20" s="1307"/>
      <c r="D20" s="1307"/>
      <c r="E20" s="435"/>
      <c r="F20" s="593"/>
      <c r="G20" s="451"/>
      <c r="H20" s="593"/>
      <c r="I20" s="451"/>
      <c r="J20" s="593"/>
      <c r="K20" s="451"/>
      <c r="L20" s="593"/>
      <c r="M20" s="438"/>
      <c r="N20" s="594">
        <f t="shared" si="0"/>
        <v>0</v>
      </c>
      <c r="O20" s="438"/>
      <c r="P20" s="595">
        <f t="shared" si="1"/>
        <v>0</v>
      </c>
      <c r="Q20" s="438"/>
      <c r="R20" s="595">
        <f t="shared" si="2"/>
        <v>0</v>
      </c>
      <c r="S20" s="451"/>
      <c r="T20" s="596"/>
      <c r="U20" s="451"/>
      <c r="V20" s="597" t="e">
        <f t="shared" si="3"/>
        <v>#N/A</v>
      </c>
      <c r="W20" s="597" t="e">
        <f t="shared" si="4"/>
        <v>#N/A</v>
      </c>
      <c r="X20" s="597" t="e">
        <f t="shared" si="5"/>
        <v>#N/A</v>
      </c>
      <c r="Y20" s="597" t="e">
        <f t="shared" si="6"/>
        <v>#N/A</v>
      </c>
      <c r="Z20" s="451"/>
      <c r="AA20" s="598"/>
      <c r="AB20" s="599">
        <f t="shared" si="7"/>
        <v>0</v>
      </c>
      <c r="AC20" s="599">
        <f t="shared" si="9"/>
        <v>0</v>
      </c>
      <c r="AD20" s="556"/>
      <c r="AE20" s="594">
        <f t="shared" si="8"/>
        <v>0</v>
      </c>
      <c r="AF20" s="435"/>
      <c r="AG20" s="290"/>
      <c r="AH20" s="290"/>
      <c r="AI20" s="290"/>
    </row>
    <row r="21" spans="1:35" ht="13.5">
      <c r="A21" s="587">
        <v>7</v>
      </c>
      <c r="B21" s="1307"/>
      <c r="C21" s="1307"/>
      <c r="D21" s="1307"/>
      <c r="E21" s="435"/>
      <c r="F21" s="593"/>
      <c r="G21" s="451"/>
      <c r="H21" s="593"/>
      <c r="I21" s="451"/>
      <c r="J21" s="593"/>
      <c r="K21" s="451"/>
      <c r="L21" s="593"/>
      <c r="M21" s="438"/>
      <c r="N21" s="594">
        <f t="shared" si="0"/>
        <v>0</v>
      </c>
      <c r="O21" s="438"/>
      <c r="P21" s="595">
        <f t="shared" si="1"/>
        <v>0</v>
      </c>
      <c r="Q21" s="438"/>
      <c r="R21" s="595">
        <f t="shared" si="2"/>
        <v>0</v>
      </c>
      <c r="S21" s="451"/>
      <c r="T21" s="596"/>
      <c r="U21" s="451"/>
      <c r="V21" s="597" t="e">
        <f t="shared" si="3"/>
        <v>#N/A</v>
      </c>
      <c r="W21" s="597" t="e">
        <f t="shared" si="4"/>
        <v>#N/A</v>
      </c>
      <c r="X21" s="597" t="e">
        <f t="shared" si="5"/>
        <v>#N/A</v>
      </c>
      <c r="Y21" s="597" t="e">
        <f t="shared" si="6"/>
        <v>#N/A</v>
      </c>
      <c r="Z21" s="451"/>
      <c r="AA21" s="598"/>
      <c r="AB21" s="599">
        <f t="shared" si="7"/>
        <v>0</v>
      </c>
      <c r="AC21" s="599">
        <f t="shared" si="9"/>
        <v>0</v>
      </c>
      <c r="AD21" s="556"/>
      <c r="AE21" s="594">
        <f t="shared" si="8"/>
        <v>0</v>
      </c>
      <c r="AF21" s="435"/>
      <c r="AG21" s="290"/>
      <c r="AH21" s="290"/>
      <c r="AI21" s="290"/>
    </row>
    <row r="22" spans="1:35" ht="13.5">
      <c r="A22" s="587">
        <v>8</v>
      </c>
      <c r="B22" s="1307"/>
      <c r="C22" s="1307"/>
      <c r="D22" s="1307"/>
      <c r="E22" s="435"/>
      <c r="F22" s="593"/>
      <c r="G22" s="451"/>
      <c r="H22" s="593"/>
      <c r="I22" s="451"/>
      <c r="J22" s="593"/>
      <c r="K22" s="451"/>
      <c r="L22" s="593"/>
      <c r="M22" s="438"/>
      <c r="N22" s="594">
        <f t="shared" si="0"/>
        <v>0</v>
      </c>
      <c r="O22" s="438"/>
      <c r="P22" s="595">
        <f t="shared" si="1"/>
        <v>0</v>
      </c>
      <c r="Q22" s="438"/>
      <c r="R22" s="595">
        <f t="shared" si="2"/>
        <v>0</v>
      </c>
      <c r="S22" s="451"/>
      <c r="T22" s="596"/>
      <c r="U22" s="451"/>
      <c r="V22" s="597" t="e">
        <f t="shared" si="3"/>
        <v>#N/A</v>
      </c>
      <c r="W22" s="597" t="e">
        <f t="shared" si="4"/>
        <v>#N/A</v>
      </c>
      <c r="X22" s="597" t="e">
        <f t="shared" si="5"/>
        <v>#N/A</v>
      </c>
      <c r="Y22" s="597" t="e">
        <f t="shared" si="6"/>
        <v>#N/A</v>
      </c>
      <c r="Z22" s="451"/>
      <c r="AA22" s="598"/>
      <c r="AB22" s="599">
        <f t="shared" si="7"/>
        <v>0</v>
      </c>
      <c r="AC22" s="599">
        <f t="shared" si="9"/>
        <v>0</v>
      </c>
      <c r="AD22" s="556"/>
      <c r="AE22" s="594">
        <f t="shared" si="8"/>
        <v>0</v>
      </c>
      <c r="AF22" s="435"/>
      <c r="AG22" s="290"/>
      <c r="AH22" s="290"/>
      <c r="AI22" s="290"/>
    </row>
    <row r="23" spans="1:35" ht="13.5">
      <c r="A23" s="587">
        <v>9</v>
      </c>
      <c r="B23" s="1307"/>
      <c r="C23" s="1307"/>
      <c r="D23" s="1307"/>
      <c r="E23" s="435"/>
      <c r="F23" s="593"/>
      <c r="G23" s="451"/>
      <c r="H23" s="593"/>
      <c r="I23" s="451"/>
      <c r="J23" s="593"/>
      <c r="K23" s="451"/>
      <c r="L23" s="593"/>
      <c r="M23" s="438"/>
      <c r="N23" s="594">
        <f t="shared" si="0"/>
        <v>0</v>
      </c>
      <c r="O23" s="438"/>
      <c r="P23" s="595">
        <f t="shared" si="1"/>
        <v>0</v>
      </c>
      <c r="Q23" s="438"/>
      <c r="R23" s="595">
        <f t="shared" si="2"/>
        <v>0</v>
      </c>
      <c r="S23" s="451"/>
      <c r="T23" s="596"/>
      <c r="U23" s="451"/>
      <c r="V23" s="597" t="e">
        <f t="shared" si="3"/>
        <v>#N/A</v>
      </c>
      <c r="W23" s="597" t="e">
        <f t="shared" si="4"/>
        <v>#N/A</v>
      </c>
      <c r="X23" s="597" t="e">
        <f t="shared" si="5"/>
        <v>#N/A</v>
      </c>
      <c r="Y23" s="597" t="e">
        <f t="shared" si="6"/>
        <v>#N/A</v>
      </c>
      <c r="Z23" s="451"/>
      <c r="AA23" s="598"/>
      <c r="AB23" s="599">
        <f t="shared" si="7"/>
        <v>0</v>
      </c>
      <c r="AC23" s="599">
        <f t="shared" si="9"/>
        <v>0</v>
      </c>
      <c r="AD23" s="556"/>
      <c r="AE23" s="594">
        <f t="shared" si="8"/>
        <v>0</v>
      </c>
      <c r="AF23" s="435"/>
      <c r="AG23" s="290"/>
      <c r="AH23" s="290"/>
      <c r="AI23" s="290"/>
    </row>
    <row r="24" spans="1:35" ht="13.5">
      <c r="A24" s="587">
        <v>10</v>
      </c>
      <c r="B24" s="1307"/>
      <c r="C24" s="1307"/>
      <c r="D24" s="1307"/>
      <c r="E24" s="435"/>
      <c r="F24" s="593"/>
      <c r="G24" s="451"/>
      <c r="H24" s="593"/>
      <c r="I24" s="451"/>
      <c r="J24" s="593"/>
      <c r="K24" s="451"/>
      <c r="L24" s="593"/>
      <c r="M24" s="438"/>
      <c r="N24" s="594">
        <f t="shared" si="0"/>
        <v>0</v>
      </c>
      <c r="O24" s="438"/>
      <c r="P24" s="595">
        <f t="shared" si="1"/>
        <v>0</v>
      </c>
      <c r="Q24" s="438"/>
      <c r="R24" s="595">
        <f t="shared" si="2"/>
        <v>0</v>
      </c>
      <c r="S24" s="451"/>
      <c r="T24" s="596"/>
      <c r="U24" s="451"/>
      <c r="V24" s="597" t="e">
        <f t="shared" si="3"/>
        <v>#N/A</v>
      </c>
      <c r="W24" s="597" t="e">
        <f t="shared" si="4"/>
        <v>#N/A</v>
      </c>
      <c r="X24" s="597" t="e">
        <f t="shared" si="5"/>
        <v>#N/A</v>
      </c>
      <c r="Y24" s="597" t="e">
        <f t="shared" si="6"/>
        <v>#N/A</v>
      </c>
      <c r="Z24" s="451"/>
      <c r="AA24" s="598"/>
      <c r="AB24" s="599">
        <f t="shared" si="7"/>
        <v>0</v>
      </c>
      <c r="AC24" s="599">
        <f t="shared" si="9"/>
        <v>0</v>
      </c>
      <c r="AD24" s="556"/>
      <c r="AE24" s="594">
        <f t="shared" si="8"/>
        <v>0</v>
      </c>
      <c r="AF24" s="435"/>
      <c r="AG24" s="290"/>
      <c r="AH24" s="290"/>
      <c r="AI24" s="290"/>
    </row>
    <row r="25" spans="1:35" ht="13.5">
      <c r="A25" s="587">
        <v>11</v>
      </c>
      <c r="B25" s="1307"/>
      <c r="C25" s="1307"/>
      <c r="D25" s="1307"/>
      <c r="E25" s="435"/>
      <c r="F25" s="593"/>
      <c r="G25" s="451"/>
      <c r="H25" s="593"/>
      <c r="I25" s="451"/>
      <c r="J25" s="593"/>
      <c r="K25" s="451"/>
      <c r="L25" s="593"/>
      <c r="M25" s="438"/>
      <c r="N25" s="594">
        <f>+H25+J25+L25</f>
        <v>0</v>
      </c>
      <c r="O25" s="438"/>
      <c r="P25" s="595">
        <f t="shared" si="1"/>
        <v>0</v>
      </c>
      <c r="Q25" s="438"/>
      <c r="R25" s="595">
        <f t="shared" si="2"/>
        <v>0</v>
      </c>
      <c r="S25" s="451"/>
      <c r="T25" s="596"/>
      <c r="U25" s="451"/>
      <c r="V25" s="597" t="e">
        <f t="shared" si="3"/>
        <v>#N/A</v>
      </c>
      <c r="W25" s="597" t="e">
        <f t="shared" si="4"/>
        <v>#N/A</v>
      </c>
      <c r="X25" s="597" t="e">
        <f t="shared" si="5"/>
        <v>#N/A</v>
      </c>
      <c r="Y25" s="597" t="e">
        <f t="shared" si="6"/>
        <v>#N/A</v>
      </c>
      <c r="Z25" s="451"/>
      <c r="AA25" s="598"/>
      <c r="AB25" s="599">
        <f t="shared" si="7"/>
        <v>0</v>
      </c>
      <c r="AC25" s="599">
        <f t="shared" si="9"/>
        <v>0</v>
      </c>
      <c r="AD25" s="556"/>
      <c r="AE25" s="594">
        <f t="shared" si="8"/>
        <v>0</v>
      </c>
      <c r="AF25" s="435"/>
      <c r="AG25" s="290"/>
      <c r="AH25" s="290"/>
      <c r="AI25" s="290"/>
    </row>
    <row r="26" spans="1:35" ht="13.5">
      <c r="A26" s="587">
        <v>12</v>
      </c>
      <c r="B26" s="1307"/>
      <c r="C26" s="1307"/>
      <c r="D26" s="1307"/>
      <c r="E26" s="435"/>
      <c r="F26" s="593"/>
      <c r="G26" s="451"/>
      <c r="H26" s="593"/>
      <c r="I26" s="451"/>
      <c r="J26" s="593"/>
      <c r="K26" s="451"/>
      <c r="L26" s="593"/>
      <c r="M26" s="438"/>
      <c r="N26" s="594">
        <f t="shared" si="0"/>
        <v>0</v>
      </c>
      <c r="O26" s="438"/>
      <c r="P26" s="595">
        <f t="shared" si="1"/>
        <v>0</v>
      </c>
      <c r="Q26" s="438"/>
      <c r="R26" s="595">
        <f t="shared" si="2"/>
        <v>0</v>
      </c>
      <c r="S26" s="451"/>
      <c r="T26" s="596"/>
      <c r="U26" s="451"/>
      <c r="V26" s="597" t="e">
        <f t="shared" si="3"/>
        <v>#N/A</v>
      </c>
      <c r="W26" s="597" t="e">
        <f t="shared" si="4"/>
        <v>#N/A</v>
      </c>
      <c r="X26" s="597" t="e">
        <f t="shared" si="5"/>
        <v>#N/A</v>
      </c>
      <c r="Y26" s="597" t="e">
        <f t="shared" si="6"/>
        <v>#N/A</v>
      </c>
      <c r="Z26" s="451"/>
      <c r="AA26" s="598"/>
      <c r="AB26" s="599">
        <f t="shared" si="7"/>
        <v>0</v>
      </c>
      <c r="AC26" s="599">
        <f t="shared" si="9"/>
        <v>0</v>
      </c>
      <c r="AD26" s="556"/>
      <c r="AE26" s="594">
        <f t="shared" si="8"/>
        <v>0</v>
      </c>
      <c r="AF26" s="435"/>
      <c r="AG26" s="290"/>
      <c r="AH26" s="290"/>
      <c r="AI26" s="290"/>
    </row>
    <row r="27" spans="1:35" ht="13.5">
      <c r="A27" s="587">
        <v>13</v>
      </c>
      <c r="B27" s="1307"/>
      <c r="C27" s="1307"/>
      <c r="D27" s="1307"/>
      <c r="E27" s="435"/>
      <c r="F27" s="593"/>
      <c r="G27" s="451"/>
      <c r="H27" s="593"/>
      <c r="I27" s="451"/>
      <c r="J27" s="593"/>
      <c r="K27" s="451"/>
      <c r="L27" s="593"/>
      <c r="M27" s="438"/>
      <c r="N27" s="594">
        <f t="shared" si="0"/>
        <v>0</v>
      </c>
      <c r="O27" s="438"/>
      <c r="P27" s="595">
        <f t="shared" si="1"/>
        <v>0</v>
      </c>
      <c r="Q27" s="438"/>
      <c r="R27" s="595">
        <f t="shared" si="2"/>
        <v>0</v>
      </c>
      <c r="S27" s="451"/>
      <c r="T27" s="596"/>
      <c r="U27" s="451"/>
      <c r="V27" s="597" t="e">
        <f t="shared" si="3"/>
        <v>#N/A</v>
      </c>
      <c r="W27" s="597" t="e">
        <f t="shared" si="4"/>
        <v>#N/A</v>
      </c>
      <c r="X27" s="597" t="e">
        <f t="shared" si="5"/>
        <v>#N/A</v>
      </c>
      <c r="Y27" s="597" t="e">
        <f t="shared" si="6"/>
        <v>#N/A</v>
      </c>
      <c r="Z27" s="451"/>
      <c r="AA27" s="598"/>
      <c r="AB27" s="599">
        <f t="shared" si="7"/>
        <v>0</v>
      </c>
      <c r="AC27" s="599">
        <f t="shared" si="9"/>
        <v>0</v>
      </c>
      <c r="AD27" s="556"/>
      <c r="AE27" s="594">
        <f t="shared" si="8"/>
        <v>0</v>
      </c>
      <c r="AF27" s="435"/>
      <c r="AG27" s="290"/>
      <c r="AH27" s="290"/>
      <c r="AI27" s="290"/>
    </row>
    <row r="28" spans="1:35" ht="13.5">
      <c r="A28" s="587">
        <v>14</v>
      </c>
      <c r="B28" s="1307"/>
      <c r="C28" s="1307"/>
      <c r="D28" s="1307"/>
      <c r="E28" s="435"/>
      <c r="F28" s="593"/>
      <c r="G28" s="451"/>
      <c r="H28" s="593"/>
      <c r="I28" s="451"/>
      <c r="J28" s="593"/>
      <c r="K28" s="451"/>
      <c r="L28" s="593"/>
      <c r="M28" s="438"/>
      <c r="N28" s="594">
        <f>+H28+J28+L28</f>
        <v>0</v>
      </c>
      <c r="O28" s="438"/>
      <c r="P28" s="595">
        <f t="shared" si="1"/>
        <v>0</v>
      </c>
      <c r="Q28" s="438"/>
      <c r="R28" s="595">
        <f t="shared" si="2"/>
        <v>0</v>
      </c>
      <c r="S28" s="451"/>
      <c r="T28" s="596"/>
      <c r="U28" s="451"/>
      <c r="V28" s="597" t="e">
        <f t="shared" si="3"/>
        <v>#N/A</v>
      </c>
      <c r="W28" s="597" t="e">
        <f t="shared" si="4"/>
        <v>#N/A</v>
      </c>
      <c r="X28" s="597" t="e">
        <f t="shared" si="5"/>
        <v>#N/A</v>
      </c>
      <c r="Y28" s="597" t="e">
        <f t="shared" si="6"/>
        <v>#N/A</v>
      </c>
      <c r="Z28" s="451"/>
      <c r="AA28" s="598"/>
      <c r="AB28" s="599">
        <f t="shared" si="7"/>
        <v>0</v>
      </c>
      <c r="AC28" s="599">
        <f t="shared" si="9"/>
        <v>0</v>
      </c>
      <c r="AD28" s="556"/>
      <c r="AE28" s="594">
        <f t="shared" si="8"/>
        <v>0</v>
      </c>
      <c r="AF28" s="435"/>
      <c r="AG28" s="290"/>
      <c r="AH28" s="290"/>
      <c r="AI28" s="290"/>
    </row>
    <row r="29" spans="1:35" ht="13.5">
      <c r="A29" s="587">
        <v>15</v>
      </c>
      <c r="B29" s="1307"/>
      <c r="C29" s="1307"/>
      <c r="D29" s="1307"/>
      <c r="E29" s="435"/>
      <c r="F29" s="593"/>
      <c r="G29" s="451"/>
      <c r="H29" s="593"/>
      <c r="I29" s="451"/>
      <c r="J29" s="593"/>
      <c r="K29" s="451"/>
      <c r="L29" s="593"/>
      <c r="M29" s="438"/>
      <c r="N29" s="594">
        <f t="shared" si="0"/>
        <v>0</v>
      </c>
      <c r="O29" s="438"/>
      <c r="P29" s="595">
        <f t="shared" si="1"/>
        <v>0</v>
      </c>
      <c r="Q29" s="438"/>
      <c r="R29" s="595">
        <f t="shared" si="2"/>
        <v>0</v>
      </c>
      <c r="S29" s="451"/>
      <c r="T29" s="596"/>
      <c r="U29" s="451"/>
      <c r="V29" s="597" t="e">
        <f t="shared" si="3"/>
        <v>#N/A</v>
      </c>
      <c r="W29" s="597" t="e">
        <f t="shared" si="4"/>
        <v>#N/A</v>
      </c>
      <c r="X29" s="597" t="e">
        <f t="shared" si="5"/>
        <v>#N/A</v>
      </c>
      <c r="Y29" s="597" t="e">
        <f t="shared" si="6"/>
        <v>#N/A</v>
      </c>
      <c r="Z29" s="451"/>
      <c r="AA29" s="598"/>
      <c r="AB29" s="599">
        <f t="shared" si="7"/>
        <v>0</v>
      </c>
      <c r="AC29" s="599">
        <f t="shared" si="9"/>
        <v>0</v>
      </c>
      <c r="AD29" s="556"/>
      <c r="AE29" s="594">
        <f t="shared" si="8"/>
        <v>0</v>
      </c>
      <c r="AF29" s="435"/>
      <c r="AG29" s="290"/>
      <c r="AH29" s="290"/>
      <c r="AI29" s="290"/>
    </row>
    <row r="30" spans="1:35">
      <c r="A30" s="450"/>
      <c r="B30" s="450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  <c r="AE30" s="450"/>
      <c r="AF30" s="435"/>
      <c r="AG30" s="290"/>
      <c r="AH30" s="290"/>
      <c r="AI30" s="290"/>
    </row>
    <row r="31" spans="1:35">
      <c r="A31" s="290"/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  <c r="W31" s="290"/>
      <c r="X31" s="600"/>
      <c r="Y31" s="600"/>
      <c r="Z31" s="600"/>
      <c r="AA31" s="600"/>
      <c r="AB31" s="600"/>
      <c r="AC31" s="600"/>
      <c r="AD31" s="600"/>
      <c r="AE31" s="600"/>
      <c r="AF31" s="600"/>
      <c r="AG31" s="600"/>
      <c r="AH31" s="290"/>
      <c r="AI31" s="290"/>
    </row>
    <row r="32" spans="1:35" ht="15.75" customHeight="1">
      <c r="A32" s="1268" t="s">
        <v>1186</v>
      </c>
      <c r="B32" s="1268"/>
      <c r="C32" s="1268"/>
      <c r="D32" s="1270" t="s">
        <v>988</v>
      </c>
      <c r="E32" s="1270"/>
      <c r="F32" s="1270"/>
      <c r="G32" s="1270"/>
      <c r="H32" s="1270"/>
      <c r="I32" s="1270"/>
      <c r="J32" s="1270"/>
      <c r="K32" s="1270"/>
      <c r="L32" s="1270"/>
      <c r="M32" s="1270"/>
      <c r="N32" s="1270"/>
      <c r="O32" s="1270"/>
      <c r="P32" s="1270"/>
      <c r="Q32" s="1270"/>
      <c r="R32" s="1270"/>
      <c r="S32" s="1270"/>
      <c r="T32" s="1270"/>
      <c r="U32" s="1270"/>
      <c r="V32" s="1268" t="s">
        <v>1185</v>
      </c>
      <c r="W32" s="1268"/>
      <c r="X32" s="600"/>
      <c r="Y32" s="600"/>
      <c r="Z32" s="600"/>
      <c r="AA32" s="600"/>
      <c r="AB32" s="600"/>
      <c r="AC32" s="600"/>
      <c r="AD32" s="600"/>
      <c r="AE32" s="602"/>
      <c r="AF32" s="602"/>
      <c r="AG32" s="600"/>
      <c r="AH32" s="290"/>
      <c r="AI32" s="290"/>
    </row>
    <row r="33" spans="1:35" ht="15.75">
      <c r="A33" s="1268"/>
      <c r="B33" s="1268"/>
      <c r="C33" s="1268"/>
      <c r="D33" s="1270" t="s">
        <v>1184</v>
      </c>
      <c r="E33" s="1270"/>
      <c r="F33" s="1270"/>
      <c r="G33" s="1270"/>
      <c r="H33" s="1270"/>
      <c r="I33" s="1270"/>
      <c r="J33" s="1270"/>
      <c r="K33" s="1270"/>
      <c r="L33" s="1270"/>
      <c r="M33" s="1270"/>
      <c r="N33" s="1270"/>
      <c r="O33" s="1270"/>
      <c r="P33" s="1270"/>
      <c r="Q33" s="1270"/>
      <c r="R33" s="1270"/>
      <c r="S33" s="1270"/>
      <c r="T33" s="1270"/>
      <c r="U33" s="1270"/>
      <c r="V33" s="1268"/>
      <c r="W33" s="1268"/>
      <c r="X33" s="600"/>
      <c r="Y33" s="600"/>
      <c r="Z33" s="600"/>
      <c r="AA33" s="600"/>
      <c r="AB33" s="600"/>
      <c r="AC33" s="600"/>
      <c r="AD33" s="600"/>
      <c r="AE33" s="602"/>
      <c r="AF33" s="602"/>
      <c r="AG33" s="600"/>
      <c r="AH33" s="290"/>
      <c r="AI33" s="290"/>
    </row>
    <row r="34" spans="1:35">
      <c r="A34" s="1268"/>
      <c r="B34" s="1268"/>
      <c r="C34" s="1268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290"/>
      <c r="U34" s="290"/>
      <c r="V34" s="1268"/>
      <c r="W34" s="1268"/>
      <c r="X34" s="600"/>
      <c r="Y34" s="600"/>
      <c r="Z34" s="600"/>
      <c r="AA34" s="600"/>
      <c r="AB34" s="600"/>
      <c r="AC34" s="600"/>
      <c r="AD34" s="600"/>
      <c r="AE34" s="602"/>
      <c r="AF34" s="602"/>
      <c r="AG34" s="600"/>
      <c r="AH34" s="290"/>
      <c r="AI34" s="290"/>
    </row>
    <row r="35" spans="1:35" ht="12.75" customHeight="1">
      <c r="A35" s="1268"/>
      <c r="B35" s="1268"/>
      <c r="C35" s="1268"/>
      <c r="D35" s="1274" t="s">
        <v>1014</v>
      </c>
      <c r="E35" s="1275"/>
      <c r="F35" s="1275"/>
      <c r="G35" s="1275"/>
      <c r="H35" s="1275"/>
      <c r="I35" s="1275"/>
      <c r="J35" s="1275"/>
      <c r="K35" s="1275"/>
      <c r="L35" s="1275"/>
      <c r="M35" s="1275"/>
      <c r="N35" s="1275"/>
      <c r="O35" s="1275"/>
      <c r="P35" s="1275"/>
      <c r="Q35" s="1275"/>
      <c r="R35" s="1275"/>
      <c r="S35" s="1275"/>
      <c r="T35" s="1275"/>
      <c r="U35" s="1276"/>
      <c r="V35" s="1268"/>
      <c r="W35" s="1268"/>
      <c r="X35" s="603"/>
      <c r="Y35" s="603"/>
      <c r="Z35" s="603"/>
      <c r="AA35" s="603"/>
      <c r="AB35" s="603"/>
      <c r="AC35" s="603"/>
      <c r="AD35" s="603"/>
      <c r="AE35" s="602"/>
      <c r="AF35" s="602"/>
      <c r="AG35" s="600"/>
      <c r="AH35" s="290"/>
      <c r="AI35" s="290"/>
    </row>
    <row r="36" spans="1:35">
      <c r="A36" s="1268"/>
      <c r="B36" s="1268"/>
      <c r="C36" s="1268"/>
      <c r="D36" s="1277"/>
      <c r="E36" s="1278"/>
      <c r="F36" s="1278"/>
      <c r="G36" s="1278"/>
      <c r="H36" s="1278"/>
      <c r="I36" s="1278"/>
      <c r="J36" s="1278"/>
      <c r="K36" s="1278"/>
      <c r="L36" s="1278"/>
      <c r="M36" s="1278"/>
      <c r="N36" s="1278"/>
      <c r="O36" s="1278"/>
      <c r="P36" s="1278"/>
      <c r="Q36" s="1278"/>
      <c r="R36" s="1278"/>
      <c r="S36" s="1278"/>
      <c r="T36" s="1278"/>
      <c r="U36" s="1279"/>
      <c r="V36" s="1268"/>
      <c r="W36" s="1268"/>
      <c r="X36" s="603"/>
      <c r="Y36" s="603"/>
      <c r="Z36" s="603"/>
      <c r="AA36" s="603"/>
      <c r="AB36" s="603"/>
      <c r="AC36" s="603"/>
      <c r="AD36" s="603"/>
      <c r="AE36" s="602"/>
      <c r="AF36" s="602"/>
      <c r="AG36" s="600"/>
      <c r="AH36" s="290"/>
      <c r="AI36" s="290"/>
    </row>
    <row r="37" spans="1:35">
      <c r="A37" s="1268"/>
      <c r="B37" s="1268"/>
      <c r="C37" s="1268"/>
      <c r="D37" s="1280"/>
      <c r="E37" s="1281"/>
      <c r="F37" s="1281"/>
      <c r="G37" s="1281"/>
      <c r="H37" s="1281"/>
      <c r="I37" s="1281"/>
      <c r="J37" s="1281"/>
      <c r="K37" s="1281"/>
      <c r="L37" s="1281"/>
      <c r="M37" s="1281"/>
      <c r="N37" s="1281"/>
      <c r="O37" s="1281"/>
      <c r="P37" s="1281"/>
      <c r="Q37" s="1281"/>
      <c r="R37" s="1281"/>
      <c r="S37" s="1281"/>
      <c r="T37" s="1281"/>
      <c r="U37" s="1282"/>
      <c r="V37" s="1268"/>
      <c r="W37" s="1268"/>
      <c r="X37" s="600"/>
      <c r="Y37" s="600"/>
      <c r="Z37" s="600"/>
      <c r="AA37" s="600"/>
      <c r="AB37" s="600"/>
      <c r="AC37" s="600"/>
      <c r="AD37" s="600"/>
      <c r="AE37" s="602"/>
      <c r="AF37" s="602"/>
      <c r="AG37" s="600"/>
      <c r="AH37" s="290"/>
      <c r="AI37" s="290"/>
    </row>
    <row r="38" spans="1:35" ht="12.75" customHeight="1">
      <c r="A38" s="1268"/>
      <c r="B38" s="1268"/>
      <c r="C38" s="1268"/>
      <c r="D38" s="1283" t="s">
        <v>1187</v>
      </c>
      <c r="E38" s="1284"/>
      <c r="F38" s="1284"/>
      <c r="G38" s="1284"/>
      <c r="H38" s="1284"/>
      <c r="I38" s="1284"/>
      <c r="J38" s="1284"/>
      <c r="K38" s="1284"/>
      <c r="L38" s="1284"/>
      <c r="M38" s="1284"/>
      <c r="N38" s="1284"/>
      <c r="O38" s="1284"/>
      <c r="P38" s="1284"/>
      <c r="Q38" s="1284"/>
      <c r="R38" s="1284"/>
      <c r="S38" s="1284"/>
      <c r="T38" s="1284"/>
      <c r="U38" s="1285"/>
      <c r="V38" s="1268"/>
      <c r="W38" s="1268"/>
      <c r="X38" s="603"/>
      <c r="Y38" s="603"/>
      <c r="Z38" s="603"/>
      <c r="AA38" s="603"/>
      <c r="AB38" s="603"/>
      <c r="AC38" s="603"/>
      <c r="AD38" s="603"/>
      <c r="AE38" s="602"/>
      <c r="AF38" s="602"/>
      <c r="AG38" s="600"/>
      <c r="AH38" s="290"/>
      <c r="AI38" s="290"/>
    </row>
    <row r="39" spans="1:35">
      <c r="A39" s="1268"/>
      <c r="B39" s="1268"/>
      <c r="C39" s="1268"/>
      <c r="D39" s="1286"/>
      <c r="E39" s="1287"/>
      <c r="F39" s="1287"/>
      <c r="G39" s="1287"/>
      <c r="H39" s="1287"/>
      <c r="I39" s="1287"/>
      <c r="J39" s="1287"/>
      <c r="K39" s="1287"/>
      <c r="L39" s="1287"/>
      <c r="M39" s="1287"/>
      <c r="N39" s="1287"/>
      <c r="O39" s="1287"/>
      <c r="P39" s="1287"/>
      <c r="Q39" s="1287"/>
      <c r="R39" s="1287"/>
      <c r="S39" s="1287"/>
      <c r="T39" s="1287"/>
      <c r="U39" s="1288"/>
      <c r="V39" s="1268"/>
      <c r="W39" s="1268"/>
      <c r="X39" s="603"/>
      <c r="Y39" s="603"/>
      <c r="Z39" s="603"/>
      <c r="AA39" s="603"/>
      <c r="AB39" s="603"/>
      <c r="AC39" s="603"/>
      <c r="AD39" s="603"/>
      <c r="AE39" s="602"/>
      <c r="AF39" s="602"/>
      <c r="AG39" s="600"/>
      <c r="AH39" s="290"/>
      <c r="AI39" s="290"/>
    </row>
    <row r="40" spans="1:35">
      <c r="A40" s="1268"/>
      <c r="B40" s="1268"/>
      <c r="C40" s="1268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290"/>
      <c r="Q40" s="290"/>
      <c r="R40" s="290"/>
      <c r="S40" s="290"/>
      <c r="T40" s="290"/>
      <c r="U40" s="290"/>
      <c r="V40" s="1268"/>
      <c r="W40" s="1268"/>
      <c r="X40" s="600"/>
      <c r="Y40" s="600"/>
      <c r="Z40" s="600"/>
      <c r="AA40" s="600"/>
      <c r="AB40" s="600"/>
      <c r="AC40" s="600"/>
      <c r="AD40" s="600"/>
      <c r="AE40" s="602"/>
      <c r="AF40" s="602"/>
      <c r="AG40" s="600"/>
      <c r="AH40" s="290"/>
      <c r="AI40" s="290"/>
    </row>
    <row r="41" spans="1:35" ht="12.75" customHeight="1">
      <c r="A41" s="1268"/>
      <c r="B41" s="1268"/>
      <c r="C41" s="1268"/>
      <c r="D41" s="1274" t="s">
        <v>1188</v>
      </c>
      <c r="E41" s="1275"/>
      <c r="F41" s="1275"/>
      <c r="G41" s="1275"/>
      <c r="H41" s="1275"/>
      <c r="I41" s="1275"/>
      <c r="J41" s="1275"/>
      <c r="K41" s="1275"/>
      <c r="L41" s="1275"/>
      <c r="M41" s="1275"/>
      <c r="N41" s="1275"/>
      <c r="O41" s="1275"/>
      <c r="P41" s="1275"/>
      <c r="Q41" s="1275"/>
      <c r="R41" s="1275"/>
      <c r="S41" s="1275"/>
      <c r="T41" s="1275"/>
      <c r="U41" s="1276"/>
      <c r="V41" s="1268"/>
      <c r="W41" s="1268"/>
      <c r="X41" s="603"/>
      <c r="Y41" s="603"/>
      <c r="Z41" s="603"/>
      <c r="AA41" s="603"/>
      <c r="AB41" s="603"/>
      <c r="AC41" s="603"/>
      <c r="AD41" s="603"/>
      <c r="AE41" s="602"/>
      <c r="AF41" s="602"/>
      <c r="AG41" s="600"/>
      <c r="AH41" s="290"/>
      <c r="AI41" s="290"/>
    </row>
    <row r="42" spans="1:35">
      <c r="A42" s="1268"/>
      <c r="B42" s="1268"/>
      <c r="C42" s="1268"/>
      <c r="D42" s="1277"/>
      <c r="E42" s="1278"/>
      <c r="F42" s="1278"/>
      <c r="G42" s="1278"/>
      <c r="H42" s="1278"/>
      <c r="I42" s="1278"/>
      <c r="J42" s="1278"/>
      <c r="K42" s="1278"/>
      <c r="L42" s="1278"/>
      <c r="M42" s="1278"/>
      <c r="N42" s="1278"/>
      <c r="O42" s="1278"/>
      <c r="P42" s="1278"/>
      <c r="Q42" s="1278"/>
      <c r="R42" s="1278"/>
      <c r="S42" s="1278"/>
      <c r="T42" s="1278"/>
      <c r="U42" s="1279"/>
      <c r="V42" s="1268"/>
      <c r="W42" s="1268"/>
      <c r="X42" s="603"/>
      <c r="Y42" s="603"/>
      <c r="Z42" s="603"/>
      <c r="AA42" s="603"/>
      <c r="AB42" s="603"/>
      <c r="AC42" s="603"/>
      <c r="AD42" s="603"/>
      <c r="AE42" s="602"/>
      <c r="AF42" s="602"/>
      <c r="AG42" s="600"/>
      <c r="AH42" s="290"/>
      <c r="AI42" s="290"/>
    </row>
    <row r="43" spans="1:35">
      <c r="A43" s="1268"/>
      <c r="B43" s="1268"/>
      <c r="C43" s="1268"/>
      <c r="D43" s="1280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  <c r="O43" s="1281"/>
      <c r="P43" s="1281"/>
      <c r="Q43" s="1281"/>
      <c r="R43" s="1281"/>
      <c r="S43" s="1281"/>
      <c r="T43" s="1281"/>
      <c r="U43" s="1282"/>
      <c r="V43" s="1268"/>
      <c r="W43" s="1268"/>
      <c r="X43" s="603"/>
      <c r="Y43" s="603"/>
      <c r="Z43" s="603"/>
      <c r="AA43" s="603"/>
      <c r="AB43" s="603"/>
      <c r="AC43" s="603"/>
      <c r="AD43" s="603"/>
      <c r="AE43" s="602"/>
      <c r="AF43" s="602"/>
      <c r="AG43" s="600"/>
      <c r="AH43" s="290"/>
      <c r="AI43" s="290"/>
    </row>
    <row r="44" spans="1:35">
      <c r="A44" s="1268"/>
      <c r="B44" s="1268"/>
      <c r="C44" s="1268"/>
      <c r="D44" s="1275" t="s">
        <v>1189</v>
      </c>
      <c r="E44" s="1275"/>
      <c r="F44" s="1275"/>
      <c r="G44" s="1275"/>
      <c r="H44" s="1275"/>
      <c r="I44" s="1275"/>
      <c r="J44" s="1275"/>
      <c r="K44" s="1275"/>
      <c r="L44" s="1275"/>
      <c r="M44" s="1275"/>
      <c r="N44" s="1275"/>
      <c r="O44" s="1275"/>
      <c r="P44" s="1275"/>
      <c r="Q44" s="1275"/>
      <c r="R44" s="1275"/>
      <c r="S44" s="1275"/>
      <c r="T44" s="1275"/>
      <c r="U44" s="1275"/>
      <c r="V44" s="1268"/>
      <c r="W44" s="1268"/>
      <c r="X44" s="600"/>
      <c r="Y44" s="600"/>
      <c r="Z44" s="600"/>
      <c r="AA44" s="600"/>
      <c r="AB44" s="600"/>
      <c r="AC44" s="600"/>
      <c r="AD44" s="600"/>
      <c r="AE44" s="602"/>
      <c r="AF44" s="602"/>
      <c r="AG44" s="600"/>
      <c r="AH44" s="290"/>
      <c r="AI44" s="290"/>
    </row>
    <row r="45" spans="1:35" ht="12.75" customHeight="1">
      <c r="A45" s="1268"/>
      <c r="B45" s="1268"/>
      <c r="C45" s="1268"/>
      <c r="D45" s="1289"/>
      <c r="E45" s="1289"/>
      <c r="F45" s="1289"/>
      <c r="G45" s="1289"/>
      <c r="H45" s="1289"/>
      <c r="I45" s="1289"/>
      <c r="J45" s="1289"/>
      <c r="K45" s="1289"/>
      <c r="L45" s="1289"/>
      <c r="M45" s="1289"/>
      <c r="N45" s="1289"/>
      <c r="O45" s="1289"/>
      <c r="P45" s="1289"/>
      <c r="Q45" s="1289"/>
      <c r="R45" s="1289"/>
      <c r="S45" s="1289"/>
      <c r="T45" s="1289"/>
      <c r="U45" s="1289"/>
      <c r="V45" s="1268"/>
      <c r="W45" s="1268"/>
      <c r="X45" s="603"/>
      <c r="Y45" s="603"/>
      <c r="Z45" s="603"/>
      <c r="AA45" s="603"/>
      <c r="AB45" s="603"/>
      <c r="AC45" s="603"/>
      <c r="AD45" s="603"/>
      <c r="AE45" s="602"/>
      <c r="AF45" s="602"/>
      <c r="AG45" s="600"/>
      <c r="AH45" s="290"/>
      <c r="AI45" s="290"/>
    </row>
    <row r="46" spans="1:35">
      <c r="A46" s="1268"/>
      <c r="B46" s="1268"/>
      <c r="C46" s="1268"/>
      <c r="D46" s="1289"/>
      <c r="E46" s="1289"/>
      <c r="F46" s="1289"/>
      <c r="G46" s="1289"/>
      <c r="H46" s="1289"/>
      <c r="I46" s="1289"/>
      <c r="J46" s="1289"/>
      <c r="K46" s="1289"/>
      <c r="L46" s="1289"/>
      <c r="M46" s="1289"/>
      <c r="N46" s="1289"/>
      <c r="O46" s="1289"/>
      <c r="P46" s="1289"/>
      <c r="Q46" s="1289"/>
      <c r="R46" s="1289"/>
      <c r="S46" s="1289"/>
      <c r="T46" s="1289"/>
      <c r="U46" s="1289"/>
      <c r="V46" s="1268"/>
      <c r="W46" s="1268"/>
      <c r="X46" s="603"/>
      <c r="Y46" s="603"/>
      <c r="Z46" s="603"/>
      <c r="AA46" s="603"/>
      <c r="AB46" s="603"/>
      <c r="AC46" s="603"/>
      <c r="AD46" s="603"/>
      <c r="AE46" s="602"/>
      <c r="AF46" s="602"/>
      <c r="AG46" s="600"/>
      <c r="AH46" s="290"/>
      <c r="AI46" s="290"/>
    </row>
    <row r="47" spans="1:35">
      <c r="A47" s="290"/>
      <c r="B47" s="453"/>
      <c r="C47" s="453"/>
      <c r="D47" s="453"/>
      <c r="E47" s="453"/>
      <c r="F47" s="453"/>
      <c r="G47" s="1269" t="s">
        <v>1197</v>
      </c>
      <c r="H47" s="1269"/>
      <c r="I47" s="1269"/>
      <c r="J47" s="1269"/>
      <c r="K47" s="1269"/>
      <c r="L47" s="1269"/>
      <c r="M47" s="1269"/>
      <c r="N47" s="1269"/>
      <c r="O47" s="1269"/>
      <c r="P47" s="1269"/>
      <c r="Q47" s="1269"/>
      <c r="R47" s="1269"/>
      <c r="S47" s="453"/>
      <c r="T47" s="453"/>
      <c r="U47" s="453"/>
      <c r="V47" s="1268"/>
      <c r="W47" s="1268"/>
      <c r="X47" s="600"/>
      <c r="Y47" s="600"/>
      <c r="Z47" s="600"/>
      <c r="AA47" s="600"/>
      <c r="AB47" s="600"/>
      <c r="AC47" s="600"/>
      <c r="AD47" s="600"/>
      <c r="AE47" s="600"/>
      <c r="AF47" s="600"/>
      <c r="AG47" s="600"/>
      <c r="AH47" s="290"/>
      <c r="AI47" s="290"/>
    </row>
    <row r="48" spans="1:35" ht="13.5" thickBot="1">
      <c r="A48" s="290"/>
      <c r="B48" s="453"/>
      <c r="C48" s="453"/>
      <c r="D48" s="453"/>
      <c r="E48" s="453"/>
      <c r="F48" s="453"/>
      <c r="G48" s="1269"/>
      <c r="H48" s="1269"/>
      <c r="I48" s="1269"/>
      <c r="J48" s="1269"/>
      <c r="K48" s="1269"/>
      <c r="L48" s="1269"/>
      <c r="M48" s="1269"/>
      <c r="N48" s="1269"/>
      <c r="O48" s="1269"/>
      <c r="P48" s="1269"/>
      <c r="Q48" s="1269"/>
      <c r="R48" s="1269"/>
      <c r="S48" s="453"/>
      <c r="T48" s="453"/>
      <c r="U48" s="453"/>
      <c r="V48" s="568"/>
      <c r="W48" s="568"/>
      <c r="X48" s="600"/>
      <c r="Y48" s="600"/>
      <c r="Z48" s="600"/>
      <c r="AA48" s="600"/>
      <c r="AB48" s="600"/>
      <c r="AC48" s="600"/>
      <c r="AD48" s="600"/>
      <c r="AE48" s="600"/>
      <c r="AF48" s="600"/>
      <c r="AG48" s="600"/>
      <c r="AH48" s="290"/>
      <c r="AI48" s="290"/>
    </row>
    <row r="49" spans="1:35" ht="12.75" customHeight="1">
      <c r="A49" s="290"/>
      <c r="B49" s="290"/>
      <c r="C49" s="290"/>
      <c r="D49" s="290"/>
      <c r="E49" s="290"/>
      <c r="F49" s="290"/>
      <c r="G49" s="1290" t="s">
        <v>989</v>
      </c>
      <c r="H49" s="1291"/>
      <c r="I49" s="1292"/>
      <c r="J49" s="290"/>
      <c r="K49" s="552"/>
      <c r="L49" s="1271" t="s">
        <v>1190</v>
      </c>
      <c r="M49" s="552"/>
      <c r="N49" s="1271" t="s">
        <v>1198</v>
      </c>
      <c r="O49" s="567"/>
      <c r="P49" s="1298" t="s">
        <v>1199</v>
      </c>
      <c r="Q49" s="567"/>
      <c r="R49" s="1271" t="s">
        <v>1112</v>
      </c>
      <c r="S49" s="290"/>
      <c r="T49" s="290"/>
      <c r="U49" s="290"/>
      <c r="V49" s="290"/>
      <c r="W49" s="290"/>
      <c r="X49" s="600"/>
      <c r="Y49" s="600"/>
      <c r="Z49" s="600"/>
      <c r="AA49" s="600"/>
      <c r="AB49" s="600"/>
      <c r="AC49" s="600"/>
      <c r="AD49" s="600"/>
      <c r="AE49" s="600"/>
      <c r="AF49" s="600"/>
      <c r="AG49" s="600"/>
      <c r="AH49" s="290"/>
      <c r="AI49" s="290"/>
    </row>
    <row r="50" spans="1:35" ht="12.75" customHeight="1">
      <c r="A50" s="290"/>
      <c r="B50" s="290"/>
      <c r="C50" s="290"/>
      <c r="D50" s="290"/>
      <c r="E50" s="290"/>
      <c r="F50" s="290"/>
      <c r="G50" s="1293"/>
      <c r="H50" s="1294"/>
      <c r="I50" s="1295"/>
      <c r="J50" s="290"/>
      <c r="K50" s="552"/>
      <c r="L50" s="1272"/>
      <c r="M50" s="552"/>
      <c r="N50" s="1272"/>
      <c r="O50" s="567"/>
      <c r="P50" s="1299"/>
      <c r="Q50" s="567"/>
      <c r="R50" s="1272"/>
      <c r="S50" s="290"/>
      <c r="T50" s="290"/>
      <c r="U50" s="290"/>
      <c r="V50" s="290"/>
      <c r="W50" s="290"/>
      <c r="X50" s="600"/>
      <c r="Y50" s="600"/>
      <c r="Z50" s="600"/>
      <c r="AA50" s="600"/>
      <c r="AB50" s="600"/>
      <c r="AC50" s="600"/>
      <c r="AD50" s="600"/>
      <c r="AE50" s="600"/>
      <c r="AF50" s="600"/>
      <c r="AG50" s="600"/>
      <c r="AH50" s="290"/>
      <c r="AI50" s="290"/>
    </row>
    <row r="51" spans="1:35" ht="13.5" thickBot="1">
      <c r="A51" s="290"/>
      <c r="B51" s="290"/>
      <c r="C51" s="290"/>
      <c r="D51" s="290"/>
      <c r="E51" s="290"/>
      <c r="F51" s="290"/>
      <c r="G51" s="1296"/>
      <c r="H51" s="1294"/>
      <c r="I51" s="1297"/>
      <c r="J51" s="290"/>
      <c r="K51" s="552"/>
      <c r="L51" s="1272"/>
      <c r="M51" s="552"/>
      <c r="N51" s="1272"/>
      <c r="O51" s="567"/>
      <c r="P51" s="1299"/>
      <c r="Q51" s="567"/>
      <c r="R51" s="1272"/>
      <c r="S51" s="290"/>
      <c r="T51" s="290"/>
      <c r="U51" s="290"/>
      <c r="V51" s="290"/>
      <c r="W51" s="290"/>
      <c r="X51" s="600"/>
      <c r="Y51" s="600"/>
      <c r="Z51" s="600"/>
      <c r="AA51" s="600"/>
      <c r="AB51" s="600"/>
      <c r="AC51" s="600"/>
      <c r="AD51" s="600"/>
      <c r="AE51" s="600"/>
      <c r="AF51" s="600"/>
      <c r="AG51" s="600"/>
      <c r="AH51" s="290"/>
      <c r="AI51" s="290"/>
    </row>
    <row r="52" spans="1:35">
      <c r="A52" s="290"/>
      <c r="B52" s="290"/>
      <c r="C52" s="290"/>
      <c r="D52" s="290"/>
      <c r="E52" s="290"/>
      <c r="F52" s="290"/>
      <c r="G52" s="290"/>
      <c r="H52" s="553">
        <v>1955</v>
      </c>
      <c r="I52" s="290"/>
      <c r="J52" s="290" t="s">
        <v>992</v>
      </c>
      <c r="K52" s="290"/>
      <c r="L52" s="554">
        <v>4664.6400000000003</v>
      </c>
      <c r="M52" s="555"/>
      <c r="N52" s="555">
        <v>36085.1</v>
      </c>
      <c r="O52" s="588"/>
      <c r="P52" s="555">
        <v>34963.67</v>
      </c>
      <c r="Q52" s="290"/>
      <c r="R52" s="555">
        <v>35631.919999999998</v>
      </c>
      <c r="S52" s="290"/>
      <c r="T52" s="290"/>
      <c r="U52" s="290"/>
      <c r="V52" s="290"/>
      <c r="W52" s="290"/>
      <c r="X52" s="600"/>
      <c r="Y52" s="600"/>
      <c r="Z52" s="600"/>
      <c r="AA52" s="600"/>
      <c r="AB52" s="600"/>
      <c r="AC52" s="600"/>
      <c r="AD52" s="600"/>
      <c r="AE52" s="600"/>
      <c r="AF52" s="600"/>
      <c r="AG52" s="600"/>
      <c r="AH52" s="290"/>
      <c r="AI52" s="290"/>
    </row>
    <row r="53" spans="1:35" ht="12.75" customHeight="1">
      <c r="A53" s="290"/>
      <c r="B53" s="1273" t="s">
        <v>990</v>
      </c>
      <c r="C53" s="1273"/>
      <c r="D53" s="1273"/>
      <c r="E53" s="1273"/>
      <c r="F53" s="1273"/>
      <c r="G53" s="290"/>
      <c r="H53" s="553">
        <v>1956</v>
      </c>
      <c r="I53" s="290"/>
      <c r="J53" s="290"/>
      <c r="K53" s="290"/>
      <c r="L53" s="554">
        <v>4571.26</v>
      </c>
      <c r="M53" s="555"/>
      <c r="N53" s="555">
        <v>35363.86</v>
      </c>
      <c r="O53" s="588"/>
      <c r="P53" s="555">
        <v>34264.839999999997</v>
      </c>
      <c r="Q53" s="290"/>
      <c r="R53" s="555">
        <v>34919.74</v>
      </c>
      <c r="S53" s="290"/>
      <c r="T53" s="1273" t="s">
        <v>991</v>
      </c>
      <c r="U53" s="1273"/>
      <c r="V53" s="1273"/>
      <c r="W53" s="290"/>
      <c r="X53" s="601"/>
      <c r="Y53" s="601"/>
      <c r="Z53" s="601"/>
      <c r="AA53" s="601"/>
      <c r="AB53" s="600"/>
      <c r="AC53" s="290"/>
      <c r="AD53" s="290"/>
      <c r="AE53" s="290"/>
      <c r="AF53" s="290"/>
      <c r="AG53" s="290"/>
      <c r="AH53" s="290"/>
      <c r="AI53" s="290"/>
    </row>
    <row r="54" spans="1:35" ht="12.75" customHeight="1">
      <c r="A54" s="290"/>
      <c r="B54" s="1273"/>
      <c r="C54" s="1273"/>
      <c r="D54" s="1273"/>
      <c r="E54" s="1273"/>
      <c r="F54" s="1273"/>
      <c r="G54" s="290"/>
      <c r="H54" s="553">
        <f t="shared" ref="H54:H117" si="10">+H53+1</f>
        <v>1957</v>
      </c>
      <c r="I54" s="290"/>
      <c r="J54" s="290"/>
      <c r="K54" s="290"/>
      <c r="L54" s="554">
        <v>4232.67</v>
      </c>
      <c r="M54" s="555"/>
      <c r="N54" s="555">
        <v>32744.71</v>
      </c>
      <c r="O54" s="588"/>
      <c r="P54" s="555">
        <v>31727.09</v>
      </c>
      <c r="Q54" s="290"/>
      <c r="R54" s="555">
        <v>32333.48</v>
      </c>
      <c r="S54" s="290"/>
      <c r="T54" s="1273"/>
      <c r="U54" s="1273"/>
      <c r="V54" s="1273"/>
      <c r="W54" s="290"/>
      <c r="X54" s="601"/>
      <c r="Y54" s="601"/>
      <c r="Z54" s="601"/>
      <c r="AA54" s="601"/>
      <c r="AB54" s="600"/>
      <c r="AC54" s="290"/>
      <c r="AD54" s="290"/>
      <c r="AE54" s="290"/>
      <c r="AF54" s="290"/>
      <c r="AG54" s="290"/>
      <c r="AH54" s="290"/>
      <c r="AI54" s="290"/>
    </row>
    <row r="55" spans="1:35" ht="12.75" customHeight="1">
      <c r="A55" s="290"/>
      <c r="B55" s="1273"/>
      <c r="C55" s="1273"/>
      <c r="D55" s="1273"/>
      <c r="E55" s="1273"/>
      <c r="F55" s="1273"/>
      <c r="G55" s="290"/>
      <c r="H55" s="553">
        <f t="shared" si="10"/>
        <v>1958</v>
      </c>
      <c r="I55" s="290"/>
      <c r="J55" s="290"/>
      <c r="K55" s="290"/>
      <c r="L55" s="554">
        <v>3571.2</v>
      </c>
      <c r="M55" s="555"/>
      <c r="N55" s="555">
        <v>27626.91</v>
      </c>
      <c r="O55" s="588"/>
      <c r="P55" s="555">
        <v>26768.34</v>
      </c>
      <c r="Q55" s="290"/>
      <c r="R55" s="555">
        <v>27279.95</v>
      </c>
      <c r="S55" s="290"/>
      <c r="T55" s="1273"/>
      <c r="U55" s="1273"/>
      <c r="V55" s="1273"/>
      <c r="W55" s="290"/>
      <c r="X55" s="601"/>
      <c r="Y55" s="601"/>
      <c r="Z55" s="601"/>
      <c r="AA55" s="601"/>
      <c r="AB55" s="600"/>
      <c r="AC55" s="290"/>
      <c r="AD55" s="290"/>
      <c r="AE55" s="290"/>
      <c r="AF55" s="290"/>
      <c r="AG55" s="290"/>
      <c r="AH55" s="290"/>
      <c r="AI55" s="290"/>
    </row>
    <row r="56" spans="1:35" ht="12.75" customHeight="1">
      <c r="A56" s="290"/>
      <c r="B56" s="1273"/>
      <c r="C56" s="1273"/>
      <c r="D56" s="1273"/>
      <c r="E56" s="1273"/>
      <c r="F56" s="1273"/>
      <c r="G56" s="290"/>
      <c r="H56" s="553">
        <f t="shared" si="10"/>
        <v>1959</v>
      </c>
      <c r="I56" s="290"/>
      <c r="J56" s="290"/>
      <c r="K56" s="290"/>
      <c r="L56" s="554">
        <v>3264.9</v>
      </c>
      <c r="M56" s="555"/>
      <c r="N56" s="555">
        <v>25257.62</v>
      </c>
      <c r="O56" s="588"/>
      <c r="P56" s="555">
        <v>24472.68</v>
      </c>
      <c r="Q56" s="290"/>
      <c r="R56" s="555">
        <v>24940.42</v>
      </c>
      <c r="S56" s="290"/>
      <c r="T56" s="1273"/>
      <c r="U56" s="1273"/>
      <c r="V56" s="1273"/>
      <c r="W56" s="290"/>
      <c r="X56" s="601"/>
      <c r="Y56" s="601"/>
      <c r="Z56" s="601"/>
      <c r="AA56" s="601"/>
      <c r="AB56" s="600"/>
      <c r="AC56" s="290"/>
      <c r="AD56" s="290"/>
      <c r="AE56" s="290"/>
      <c r="AF56" s="290"/>
      <c r="AG56" s="290"/>
      <c r="AH56" s="290"/>
      <c r="AI56" s="290"/>
    </row>
    <row r="57" spans="1:35" ht="12.75" customHeight="1">
      <c r="A57" s="290"/>
      <c r="B57" s="1273"/>
      <c r="C57" s="1273"/>
      <c r="D57" s="1273"/>
      <c r="E57" s="1273"/>
      <c r="F57" s="1273"/>
      <c r="G57" s="290"/>
      <c r="H57" s="553">
        <f t="shared" si="10"/>
        <v>1960</v>
      </c>
      <c r="I57" s="290"/>
      <c r="J57" s="290"/>
      <c r="K57" s="290"/>
      <c r="L57" s="554">
        <v>3047.31</v>
      </c>
      <c r="M57" s="555"/>
      <c r="N57" s="555">
        <v>23574.13</v>
      </c>
      <c r="O57" s="588"/>
      <c r="P57" s="555">
        <v>22841.51</v>
      </c>
      <c r="Q57" s="290"/>
      <c r="R57" s="555">
        <v>23278.07</v>
      </c>
      <c r="S57" s="290"/>
      <c r="T57" s="1273"/>
      <c r="U57" s="1273"/>
      <c r="V57" s="1273"/>
      <c r="W57" s="290"/>
      <c r="X57" s="601"/>
      <c r="Y57" s="601"/>
      <c r="Z57" s="601"/>
      <c r="AA57" s="601"/>
      <c r="AB57" s="600"/>
      <c r="AC57" s="290"/>
      <c r="AD57" s="290"/>
      <c r="AE57" s="290"/>
      <c r="AF57" s="290"/>
      <c r="AG57" s="290"/>
      <c r="AH57" s="290"/>
      <c r="AI57" s="290"/>
    </row>
    <row r="58" spans="1:35" ht="12.75" customHeight="1">
      <c r="A58" s="290"/>
      <c r="B58" s="1273"/>
      <c r="C58" s="1273"/>
      <c r="D58" s="1273"/>
      <c r="E58" s="1273"/>
      <c r="F58" s="1273"/>
      <c r="G58" s="290"/>
      <c r="H58" s="553">
        <f t="shared" si="10"/>
        <v>1961</v>
      </c>
      <c r="I58" s="290"/>
      <c r="J58" s="290"/>
      <c r="K58" s="290"/>
      <c r="L58" s="554">
        <v>3856.78</v>
      </c>
      <c r="M58" s="555"/>
      <c r="N58" s="555">
        <v>21981.02</v>
      </c>
      <c r="O58" s="588"/>
      <c r="P58" s="555">
        <v>21297.91</v>
      </c>
      <c r="Q58" s="290"/>
      <c r="R58" s="555">
        <v>21704.97</v>
      </c>
      <c r="S58" s="290"/>
      <c r="T58" s="1273"/>
      <c r="U58" s="1273"/>
      <c r="V58" s="1273"/>
      <c r="W58" s="290"/>
      <c r="X58" s="601"/>
      <c r="Y58" s="601"/>
      <c r="Z58" s="601"/>
      <c r="AA58" s="601"/>
      <c r="AB58" s="600"/>
      <c r="AC58" s="290"/>
      <c r="AD58" s="290"/>
      <c r="AE58" s="290"/>
      <c r="AF58" s="290"/>
      <c r="AG58" s="290"/>
      <c r="AH58" s="290"/>
      <c r="AI58" s="290"/>
    </row>
    <row r="59" spans="1:35" ht="12.75" customHeight="1">
      <c r="A59" s="290"/>
      <c r="B59" s="1273"/>
      <c r="C59" s="1273"/>
      <c r="D59" s="1273"/>
      <c r="E59" s="1273"/>
      <c r="F59" s="1273"/>
      <c r="G59" s="290"/>
      <c r="H59" s="553">
        <f t="shared" si="10"/>
        <v>1962</v>
      </c>
      <c r="I59" s="290"/>
      <c r="J59" s="290"/>
      <c r="K59" s="290"/>
      <c r="L59" s="554">
        <v>2688.94</v>
      </c>
      <c r="M59" s="555"/>
      <c r="N59" s="555">
        <v>20800.810000000001</v>
      </c>
      <c r="O59" s="588"/>
      <c r="P59" s="555">
        <v>20154.38</v>
      </c>
      <c r="Q59" s="290"/>
      <c r="R59" s="555">
        <v>20539.580000000002</v>
      </c>
      <c r="S59" s="290"/>
      <c r="T59" s="1273"/>
      <c r="U59" s="1273"/>
      <c r="V59" s="1273"/>
      <c r="W59" s="290"/>
      <c r="X59" s="601"/>
      <c r="Y59" s="601"/>
      <c r="Z59" s="601"/>
      <c r="AA59" s="601"/>
      <c r="AB59" s="600"/>
      <c r="AC59" s="290"/>
      <c r="AD59" s="290"/>
      <c r="AE59" s="290"/>
      <c r="AF59" s="290"/>
      <c r="AG59" s="290"/>
      <c r="AH59" s="290"/>
      <c r="AI59" s="290"/>
    </row>
    <row r="60" spans="1:35" ht="12.75" customHeight="1">
      <c r="A60" s="290"/>
      <c r="B60" s="1273"/>
      <c r="C60" s="1273"/>
      <c r="D60" s="1273"/>
      <c r="E60" s="1273"/>
      <c r="F60" s="1273"/>
      <c r="G60" s="290"/>
      <c r="H60" s="553">
        <f t="shared" si="10"/>
        <v>1963</v>
      </c>
      <c r="I60" s="290"/>
      <c r="J60" s="290"/>
      <c r="K60" s="290"/>
      <c r="L60" s="554">
        <v>2511.5</v>
      </c>
      <c r="M60" s="555"/>
      <c r="N60" s="555">
        <v>19429.21</v>
      </c>
      <c r="O60" s="588"/>
      <c r="P60" s="555">
        <v>18825.400000000001</v>
      </c>
      <c r="Q60" s="290"/>
      <c r="R60" s="555">
        <v>19185.21</v>
      </c>
      <c r="S60" s="290"/>
      <c r="T60" s="1273"/>
      <c r="U60" s="1273"/>
      <c r="V60" s="1273"/>
      <c r="W60" s="290"/>
      <c r="X60" s="601"/>
      <c r="Y60" s="601"/>
      <c r="Z60" s="601"/>
      <c r="AA60" s="601"/>
      <c r="AB60" s="600"/>
      <c r="AC60" s="290"/>
      <c r="AD60" s="290"/>
      <c r="AE60" s="290"/>
      <c r="AF60" s="290"/>
      <c r="AG60" s="290"/>
      <c r="AH60" s="290"/>
      <c r="AI60" s="290"/>
    </row>
    <row r="61" spans="1:35" ht="12.75" customHeight="1">
      <c r="A61" s="290"/>
      <c r="B61" s="1273"/>
      <c r="C61" s="1273"/>
      <c r="D61" s="1273"/>
      <c r="E61" s="1273"/>
      <c r="F61" s="1273"/>
      <c r="G61" s="290"/>
      <c r="H61" s="553">
        <f t="shared" si="10"/>
        <v>1964</v>
      </c>
      <c r="I61" s="290"/>
      <c r="J61" s="290"/>
      <c r="K61" s="290"/>
      <c r="L61" s="554">
        <v>1920.42</v>
      </c>
      <c r="M61" s="555"/>
      <c r="N61" s="555">
        <v>14857.22</v>
      </c>
      <c r="O61" s="588"/>
      <c r="P61" s="555">
        <v>14395.49</v>
      </c>
      <c r="Q61" s="290"/>
      <c r="R61" s="555">
        <v>14670.63</v>
      </c>
      <c r="S61" s="290"/>
      <c r="T61" s="1273"/>
      <c r="U61" s="1273"/>
      <c r="V61" s="1273"/>
      <c r="W61" s="290"/>
      <c r="X61" s="601"/>
      <c r="Y61" s="601"/>
      <c r="Z61" s="601"/>
      <c r="AA61" s="601"/>
      <c r="AB61" s="600"/>
      <c r="AC61" s="290"/>
      <c r="AD61" s="290"/>
      <c r="AE61" s="290"/>
      <c r="AF61" s="290"/>
      <c r="AG61" s="290"/>
      <c r="AH61" s="290"/>
      <c r="AI61" s="290"/>
    </row>
    <row r="62" spans="1:35" ht="12.75" customHeight="1">
      <c r="A62" s="290"/>
      <c r="B62" s="1273"/>
      <c r="C62" s="1273"/>
      <c r="D62" s="1273"/>
      <c r="E62" s="1273"/>
      <c r="F62" s="1273"/>
      <c r="G62" s="290"/>
      <c r="H62" s="553">
        <f t="shared" si="10"/>
        <v>1965</v>
      </c>
      <c r="I62" s="290"/>
      <c r="J62" s="290"/>
      <c r="K62" s="290"/>
      <c r="L62" s="554">
        <v>1758.11</v>
      </c>
      <c r="M62" s="555"/>
      <c r="N62" s="555">
        <v>13600.8</v>
      </c>
      <c r="O62" s="588"/>
      <c r="P62" s="555">
        <v>13178.13</v>
      </c>
      <c r="Q62" s="290"/>
      <c r="R62" s="555">
        <v>13429.99</v>
      </c>
      <c r="S62" s="290"/>
      <c r="T62" s="1273"/>
      <c r="U62" s="1273"/>
      <c r="V62" s="1273"/>
      <c r="W62" s="290"/>
      <c r="X62" s="601"/>
      <c r="Y62" s="601"/>
      <c r="Z62" s="601"/>
      <c r="AA62" s="601"/>
      <c r="AB62" s="600"/>
      <c r="AC62" s="290"/>
      <c r="AD62" s="290"/>
      <c r="AE62" s="290"/>
      <c r="AF62" s="290"/>
      <c r="AG62" s="290"/>
      <c r="AH62" s="290"/>
      <c r="AI62" s="290"/>
    </row>
    <row r="63" spans="1:35" ht="12.75" customHeight="1">
      <c r="A63" s="290"/>
      <c r="B63" s="1273"/>
      <c r="C63" s="1273"/>
      <c r="D63" s="1273"/>
      <c r="E63" s="1273"/>
      <c r="F63" s="1273"/>
      <c r="G63" s="290"/>
      <c r="H63" s="553">
        <f t="shared" si="10"/>
        <v>1966</v>
      </c>
      <c r="I63" s="290"/>
      <c r="J63" s="290"/>
      <c r="K63" s="290"/>
      <c r="L63" s="554">
        <v>1533.84</v>
      </c>
      <c r="M63" s="555"/>
      <c r="N63" s="555">
        <v>11865.93</v>
      </c>
      <c r="O63" s="588"/>
      <c r="P63" s="555">
        <v>11497.16</v>
      </c>
      <c r="Q63" s="290"/>
      <c r="R63" s="555">
        <v>11716.9</v>
      </c>
      <c r="S63" s="290"/>
      <c r="T63" s="1273"/>
      <c r="U63" s="1273"/>
      <c r="V63" s="1273"/>
      <c r="W63" s="290"/>
      <c r="X63" s="601"/>
      <c r="Y63" s="601"/>
      <c r="Z63" s="601"/>
      <c r="AA63" s="601"/>
      <c r="AB63" s="600"/>
      <c r="AC63" s="290"/>
      <c r="AD63" s="290"/>
      <c r="AE63" s="290"/>
      <c r="AF63" s="290"/>
      <c r="AG63" s="290"/>
      <c r="AH63" s="290"/>
      <c r="AI63" s="290"/>
    </row>
    <row r="64" spans="1:35" ht="12.75" customHeight="1">
      <c r="A64" s="290"/>
      <c r="B64" s="1273"/>
      <c r="C64" s="1273"/>
      <c r="D64" s="1273"/>
      <c r="E64" s="1273"/>
      <c r="F64" s="1273"/>
      <c r="G64" s="290"/>
      <c r="H64" s="553">
        <f t="shared" si="10"/>
        <v>1967</v>
      </c>
      <c r="I64" s="290"/>
      <c r="J64" s="290"/>
      <c r="K64" s="290"/>
      <c r="L64" s="554">
        <v>1352.33</v>
      </c>
      <c r="M64" s="555"/>
      <c r="N64" s="555">
        <v>10462.43</v>
      </c>
      <c r="O64" s="588"/>
      <c r="P64" s="555">
        <v>10137.280000000001</v>
      </c>
      <c r="Q64" s="290"/>
      <c r="R64" s="555">
        <v>10331.030000000001</v>
      </c>
      <c r="S64" s="290"/>
      <c r="T64" s="1273"/>
      <c r="U64" s="1273"/>
      <c r="V64" s="1273"/>
      <c r="W64" s="290"/>
      <c r="X64" s="601"/>
      <c r="Y64" s="601"/>
      <c r="Z64" s="601"/>
      <c r="AA64" s="601"/>
      <c r="AB64" s="600"/>
      <c r="AC64" s="290"/>
      <c r="AD64" s="290"/>
      <c r="AE64" s="290"/>
      <c r="AF64" s="290"/>
      <c r="AG64" s="290"/>
      <c r="AH64" s="290"/>
      <c r="AI64" s="290"/>
    </row>
    <row r="65" spans="1:35" ht="12.75" customHeight="1">
      <c r="A65" s="290"/>
      <c r="B65" s="1273"/>
      <c r="C65" s="1273"/>
      <c r="D65" s="1273"/>
      <c r="E65" s="1273"/>
      <c r="F65" s="1273"/>
      <c r="G65" s="290"/>
      <c r="H65" s="553">
        <f t="shared" si="10"/>
        <v>1968</v>
      </c>
      <c r="I65" s="290"/>
      <c r="J65" s="290"/>
      <c r="K65" s="290"/>
      <c r="L65" s="554">
        <v>1255.75</v>
      </c>
      <c r="M65" s="555"/>
      <c r="N65" s="555">
        <v>9714.61</v>
      </c>
      <c r="O65" s="588"/>
      <c r="P65" s="555">
        <v>9412.7000000000007</v>
      </c>
      <c r="Q65" s="290"/>
      <c r="R65" s="555">
        <v>9592.6</v>
      </c>
      <c r="S65" s="290"/>
      <c r="T65" s="1273"/>
      <c r="U65" s="1273"/>
      <c r="V65" s="1273"/>
      <c r="W65" s="290"/>
      <c r="X65" s="601"/>
      <c r="Y65" s="601"/>
      <c r="Z65" s="601"/>
      <c r="AA65" s="601"/>
      <c r="AB65" s="600"/>
      <c r="AC65" s="290"/>
      <c r="AD65" s="290"/>
      <c r="AE65" s="290"/>
      <c r="AF65" s="290"/>
      <c r="AG65" s="290"/>
      <c r="AH65" s="290"/>
      <c r="AI65" s="290"/>
    </row>
    <row r="66" spans="1:35" ht="12.75" customHeight="1">
      <c r="A66" s="290"/>
      <c r="B66" s="1273"/>
      <c r="C66" s="1273"/>
      <c r="D66" s="1273"/>
      <c r="E66" s="1273"/>
      <c r="F66" s="1273"/>
      <c r="G66" s="290"/>
      <c r="H66" s="553">
        <f t="shared" si="10"/>
        <v>1969</v>
      </c>
      <c r="I66" s="290"/>
      <c r="J66" s="290"/>
      <c r="K66" s="290"/>
      <c r="L66" s="554">
        <v>1178.0899999999999</v>
      </c>
      <c r="M66" s="555"/>
      <c r="N66" s="555">
        <v>9113.8700000000008</v>
      </c>
      <c r="O66" s="588"/>
      <c r="P66" s="555">
        <v>8830.6299999999992</v>
      </c>
      <c r="Q66" s="290"/>
      <c r="R66" s="555">
        <v>8999.41</v>
      </c>
      <c r="S66" s="290"/>
      <c r="T66" s="1273"/>
      <c r="U66" s="1273"/>
      <c r="V66" s="1273"/>
      <c r="W66" s="290"/>
      <c r="X66" s="601"/>
      <c r="Y66" s="601"/>
      <c r="Z66" s="601"/>
      <c r="AA66" s="601"/>
      <c r="AB66" s="600"/>
      <c r="AC66" s="290"/>
      <c r="AD66" s="290"/>
      <c r="AE66" s="290"/>
      <c r="AF66" s="290"/>
      <c r="AG66" s="290"/>
      <c r="AH66" s="290"/>
      <c r="AI66" s="290"/>
    </row>
    <row r="67" spans="1:35" ht="12.75" customHeight="1">
      <c r="A67" s="290"/>
      <c r="B67" s="1273"/>
      <c r="C67" s="1273"/>
      <c r="D67" s="1273"/>
      <c r="E67" s="1273"/>
      <c r="F67" s="1273"/>
      <c r="G67" s="290"/>
      <c r="H67" s="553">
        <f t="shared" si="10"/>
        <v>1970</v>
      </c>
      <c r="I67" s="290"/>
      <c r="J67" s="290"/>
      <c r="K67" s="290"/>
      <c r="L67" s="554">
        <v>1083.26</v>
      </c>
      <c r="M67" s="555"/>
      <c r="N67" s="555">
        <v>8380.2199999999993</v>
      </c>
      <c r="O67" s="588"/>
      <c r="P67" s="555">
        <v>8119.79</v>
      </c>
      <c r="Q67" s="290"/>
      <c r="R67" s="555">
        <v>8274.98</v>
      </c>
      <c r="S67" s="290"/>
      <c r="T67" s="1273"/>
      <c r="U67" s="1273"/>
      <c r="V67" s="1273"/>
      <c r="W67" s="290"/>
      <c r="X67" s="601"/>
      <c r="Y67" s="601"/>
      <c r="Z67" s="601"/>
      <c r="AA67" s="601"/>
      <c r="AB67" s="600"/>
      <c r="AC67" s="290"/>
      <c r="AD67" s="290"/>
      <c r="AE67" s="290"/>
      <c r="AF67" s="290"/>
      <c r="AG67" s="290"/>
      <c r="AH67" s="290"/>
      <c r="AI67" s="290"/>
    </row>
    <row r="68" spans="1:35">
      <c r="A68" s="290"/>
      <c r="B68" s="290"/>
      <c r="C68" s="290"/>
      <c r="D68" s="290"/>
      <c r="E68" s="290"/>
      <c r="F68" s="290"/>
      <c r="G68" s="290"/>
      <c r="H68" s="553">
        <f t="shared" si="10"/>
        <v>1971</v>
      </c>
      <c r="I68" s="290"/>
      <c r="J68" s="290"/>
      <c r="K68" s="290"/>
      <c r="L68" s="554">
        <v>1011.41</v>
      </c>
      <c r="M68" s="555"/>
      <c r="N68" s="555">
        <v>7823.78</v>
      </c>
      <c r="O68" s="588"/>
      <c r="P68" s="555">
        <v>7580.64</v>
      </c>
      <c r="Q68" s="290"/>
      <c r="R68" s="555">
        <v>7725.53</v>
      </c>
      <c r="S68" s="290"/>
      <c r="T68" s="290"/>
      <c r="U68" s="290"/>
      <c r="V68" s="290"/>
      <c r="W68" s="290"/>
      <c r="X68" s="600"/>
      <c r="Y68" s="600"/>
      <c r="Z68" s="600"/>
      <c r="AA68" s="600"/>
      <c r="AB68" s="600"/>
      <c r="AC68" s="290"/>
      <c r="AD68" s="290"/>
      <c r="AE68" s="290"/>
      <c r="AF68" s="290"/>
      <c r="AG68" s="290"/>
      <c r="AH68" s="290"/>
      <c r="AI68" s="290"/>
    </row>
    <row r="69" spans="1:35" ht="12.75" customHeight="1">
      <c r="A69" s="290"/>
      <c r="B69" s="290"/>
      <c r="C69" s="290"/>
      <c r="D69" s="290"/>
      <c r="E69" s="290"/>
      <c r="F69" s="290"/>
      <c r="G69" s="290"/>
      <c r="H69" s="553">
        <f t="shared" si="10"/>
        <v>1972</v>
      </c>
      <c r="I69" s="290"/>
      <c r="J69" s="290"/>
      <c r="K69" s="290"/>
      <c r="L69" s="554">
        <v>896.22</v>
      </c>
      <c r="M69" s="555"/>
      <c r="N69" s="555">
        <v>6934.19</v>
      </c>
      <c r="O69" s="588"/>
      <c r="P69" s="555">
        <v>6718.7</v>
      </c>
      <c r="Q69" s="290"/>
      <c r="R69" s="555">
        <v>6847.11</v>
      </c>
      <c r="S69" s="290"/>
      <c r="T69" s="1267" t="s">
        <v>1196</v>
      </c>
      <c r="U69" s="1267"/>
      <c r="V69" s="1267"/>
      <c r="W69" s="290"/>
      <c r="X69" s="600"/>
      <c r="Y69" s="600"/>
      <c r="Z69" s="600"/>
      <c r="AA69" s="600"/>
      <c r="AB69" s="600"/>
      <c r="AC69" s="290"/>
      <c r="AD69" s="290"/>
      <c r="AE69" s="290"/>
      <c r="AF69" s="290"/>
      <c r="AG69" s="290"/>
      <c r="AH69" s="290"/>
      <c r="AI69" s="290"/>
    </row>
    <row r="70" spans="1:35" ht="12.75" customHeight="1">
      <c r="A70" s="290"/>
      <c r="B70" s="290"/>
      <c r="C70" s="290"/>
      <c r="D70" s="290"/>
      <c r="E70" s="290"/>
      <c r="F70" s="290"/>
      <c r="G70" s="290"/>
      <c r="H70" s="553">
        <f t="shared" si="10"/>
        <v>1973</v>
      </c>
      <c r="I70" s="290"/>
      <c r="J70" s="290"/>
      <c r="K70" s="290"/>
      <c r="L70" s="554">
        <v>788.01</v>
      </c>
      <c r="M70" s="555"/>
      <c r="N70" s="555">
        <v>6097.77</v>
      </c>
      <c r="O70" s="588"/>
      <c r="P70" s="555">
        <v>5908.26</v>
      </c>
      <c r="Q70" s="290"/>
      <c r="R70" s="555">
        <v>6021.19</v>
      </c>
      <c r="S70" s="290"/>
      <c r="T70" s="1267"/>
      <c r="U70" s="1267"/>
      <c r="V70" s="1267"/>
      <c r="W70" s="290"/>
      <c r="X70" s="600"/>
      <c r="Y70" s="600"/>
      <c r="Z70" s="600"/>
      <c r="AA70" s="600"/>
      <c r="AB70" s="600"/>
      <c r="AC70" s="290"/>
      <c r="AD70" s="290"/>
      <c r="AE70" s="290"/>
      <c r="AF70" s="290"/>
      <c r="AG70" s="290"/>
      <c r="AH70" s="290"/>
      <c r="AI70" s="290"/>
    </row>
    <row r="71" spans="1:35" ht="12.75" customHeight="1">
      <c r="A71" s="290"/>
      <c r="B71" s="290"/>
      <c r="C71" s="290"/>
      <c r="D71" s="290"/>
      <c r="E71" s="290"/>
      <c r="F71" s="290"/>
      <c r="G71" s="290"/>
      <c r="H71" s="553">
        <f t="shared" si="10"/>
        <v>1974</v>
      </c>
      <c r="I71" s="290"/>
      <c r="J71" s="290"/>
      <c r="K71" s="290"/>
      <c r="L71" s="554">
        <v>643.73</v>
      </c>
      <c r="M71" s="555"/>
      <c r="N71" s="555">
        <v>4981.3500000000004</v>
      </c>
      <c r="O71" s="588"/>
      <c r="P71" s="555">
        <v>4826.54</v>
      </c>
      <c r="Q71" s="290"/>
      <c r="R71" s="555">
        <v>4918.79</v>
      </c>
      <c r="S71" s="290"/>
      <c r="T71" s="1267"/>
      <c r="U71" s="1267"/>
      <c r="V71" s="1267"/>
      <c r="W71" s="290"/>
      <c r="X71" s="290"/>
      <c r="Y71" s="290"/>
      <c r="Z71" s="290"/>
      <c r="AA71" s="290"/>
      <c r="AB71" s="290"/>
      <c r="AC71" s="290"/>
      <c r="AD71" s="290"/>
      <c r="AE71" s="290"/>
      <c r="AF71" s="290"/>
      <c r="AG71" s="290"/>
      <c r="AH71" s="290"/>
      <c r="AI71" s="290"/>
    </row>
    <row r="72" spans="1:35" ht="12.75" customHeight="1">
      <c r="A72" s="290"/>
      <c r="B72" s="290"/>
      <c r="C72" s="290"/>
      <c r="D72" s="290"/>
      <c r="E72" s="290"/>
      <c r="F72" s="290"/>
      <c r="G72" s="290"/>
      <c r="H72" s="553">
        <f t="shared" si="10"/>
        <v>1975</v>
      </c>
      <c r="I72" s="290"/>
      <c r="J72" s="290"/>
      <c r="K72" s="290"/>
      <c r="L72" s="554">
        <v>514.87</v>
      </c>
      <c r="M72" s="555"/>
      <c r="N72" s="555">
        <v>3981.89</v>
      </c>
      <c r="O72" s="588"/>
      <c r="P72" s="555">
        <v>3858.14</v>
      </c>
      <c r="Q72" s="290"/>
      <c r="R72" s="555">
        <v>3931.88</v>
      </c>
      <c r="S72" s="290"/>
      <c r="T72" s="1267"/>
      <c r="U72" s="1267"/>
      <c r="V72" s="1267"/>
      <c r="W72" s="290"/>
      <c r="X72" s="290"/>
      <c r="Y72" s="290"/>
      <c r="Z72" s="290"/>
      <c r="AA72" s="290"/>
      <c r="AB72" s="290"/>
      <c r="AC72" s="290"/>
      <c r="AD72" s="290"/>
      <c r="AE72" s="290"/>
      <c r="AF72" s="290"/>
      <c r="AG72" s="290"/>
      <c r="AH72" s="290"/>
      <c r="AI72" s="290"/>
    </row>
    <row r="73" spans="1:35" ht="12.75" customHeight="1">
      <c r="A73" s="290"/>
      <c r="B73" s="290"/>
      <c r="C73" s="290"/>
      <c r="D73" s="290"/>
      <c r="E73" s="290"/>
      <c r="F73" s="290"/>
      <c r="G73" s="290"/>
      <c r="H73" s="553">
        <f t="shared" si="10"/>
        <v>1976</v>
      </c>
      <c r="I73" s="290"/>
      <c r="J73" s="604"/>
      <c r="K73" s="290"/>
      <c r="L73" s="554">
        <v>437.78</v>
      </c>
      <c r="M73" s="555"/>
      <c r="N73" s="555">
        <v>3386.47</v>
      </c>
      <c r="O73" s="588"/>
      <c r="P73" s="555">
        <v>3281.22</v>
      </c>
      <c r="Q73" s="290"/>
      <c r="R73" s="555">
        <v>3343.94</v>
      </c>
      <c r="S73" s="290"/>
      <c r="T73" s="1267"/>
      <c r="U73" s="1267"/>
      <c r="V73" s="1267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  <c r="AI73" s="290"/>
    </row>
    <row r="74" spans="1:35" ht="12.75" customHeight="1">
      <c r="A74" s="290"/>
      <c r="B74" s="290"/>
      <c r="C74" s="290"/>
      <c r="D74" s="290"/>
      <c r="E74" s="290"/>
      <c r="F74" s="290"/>
      <c r="G74" s="290"/>
      <c r="H74" s="553">
        <f t="shared" si="10"/>
        <v>1977</v>
      </c>
      <c r="I74" s="290"/>
      <c r="J74" s="290"/>
      <c r="K74" s="290"/>
      <c r="L74" s="554">
        <v>349.06</v>
      </c>
      <c r="M74" s="555"/>
      <c r="N74" s="555">
        <v>2698.9</v>
      </c>
      <c r="O74" s="588"/>
      <c r="P74" s="555">
        <v>2615.02</v>
      </c>
      <c r="Q74" s="290"/>
      <c r="R74" s="555">
        <v>2665</v>
      </c>
      <c r="S74" s="290"/>
      <c r="T74" s="1267"/>
      <c r="U74" s="1267"/>
      <c r="V74" s="1267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</row>
    <row r="75" spans="1:35" ht="12.75" customHeight="1">
      <c r="A75" s="290"/>
      <c r="B75" s="290"/>
      <c r="C75" s="290"/>
      <c r="D75" s="290"/>
      <c r="E75" s="290"/>
      <c r="F75" s="290"/>
      <c r="G75" s="290"/>
      <c r="H75" s="553">
        <f t="shared" si="10"/>
        <v>1978</v>
      </c>
      <c r="I75" s="290"/>
      <c r="J75" s="290"/>
      <c r="K75" s="290"/>
      <c r="L75" s="554">
        <v>273.72000000000003</v>
      </c>
      <c r="M75" s="555"/>
      <c r="N75" s="555">
        <v>2117.65</v>
      </c>
      <c r="O75" s="588"/>
      <c r="P75" s="555">
        <v>2051.84</v>
      </c>
      <c r="Q75" s="290"/>
      <c r="R75" s="555">
        <v>2091.0500000000002</v>
      </c>
      <c r="S75" s="290"/>
      <c r="T75" s="1267"/>
      <c r="U75" s="1267"/>
      <c r="V75" s="1267"/>
      <c r="W75" s="290"/>
      <c r="X75" s="290"/>
      <c r="Y75" s="290"/>
      <c r="Z75" s="290"/>
      <c r="AA75" s="290"/>
      <c r="AB75" s="290"/>
      <c r="AC75" s="290"/>
      <c r="AD75" s="290"/>
      <c r="AE75" s="290"/>
      <c r="AF75" s="290"/>
      <c r="AG75" s="290"/>
      <c r="AH75" s="290"/>
      <c r="AI75" s="290"/>
    </row>
    <row r="76" spans="1:35" ht="12.75" customHeight="1">
      <c r="A76" s="290"/>
      <c r="B76" s="290"/>
      <c r="C76" s="290"/>
      <c r="D76" s="290"/>
      <c r="E76" s="290"/>
      <c r="F76" s="290"/>
      <c r="G76" s="290"/>
      <c r="H76" s="553">
        <f t="shared" si="10"/>
        <v>1979</v>
      </c>
      <c r="I76" s="290"/>
      <c r="J76" s="290"/>
      <c r="K76" s="290"/>
      <c r="L76" s="554">
        <v>228.64</v>
      </c>
      <c r="M76" s="555"/>
      <c r="N76" s="555">
        <v>1768.55</v>
      </c>
      <c r="O76" s="588"/>
      <c r="P76" s="555">
        <v>1713.59</v>
      </c>
      <c r="Q76" s="290"/>
      <c r="R76" s="555">
        <v>1746.34</v>
      </c>
      <c r="S76" s="290"/>
      <c r="T76" s="1267"/>
      <c r="U76" s="1267"/>
      <c r="V76" s="1267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</row>
    <row r="77" spans="1:35" ht="12.75" customHeight="1">
      <c r="A77" s="290"/>
      <c r="B77" s="290"/>
      <c r="C77" s="290"/>
      <c r="D77" s="290"/>
      <c r="E77" s="290"/>
      <c r="F77" s="290"/>
      <c r="G77" s="290"/>
      <c r="H77" s="553">
        <f t="shared" si="10"/>
        <v>1980</v>
      </c>
      <c r="I77" s="290"/>
      <c r="J77" s="290"/>
      <c r="K77" s="290"/>
      <c r="L77" s="554">
        <v>180.64</v>
      </c>
      <c r="M77" s="555"/>
      <c r="N77" s="555">
        <v>1398.18</v>
      </c>
      <c r="O77" s="588"/>
      <c r="P77" s="555">
        <v>1354.73</v>
      </c>
      <c r="Q77" s="290"/>
      <c r="R77" s="555">
        <v>1380.62</v>
      </c>
      <c r="S77" s="290"/>
      <c r="T77" s="1267"/>
      <c r="U77" s="1267"/>
      <c r="V77" s="1267"/>
      <c r="W77" s="290"/>
      <c r="X77" s="290"/>
      <c r="Y77" s="290"/>
      <c r="Z77" s="290"/>
      <c r="AA77" s="290"/>
      <c r="AB77" s="290"/>
      <c r="AC77" s="290"/>
      <c r="AD77" s="290"/>
      <c r="AE77" s="290"/>
      <c r="AF77" s="290"/>
      <c r="AG77" s="290"/>
      <c r="AH77" s="290"/>
      <c r="AI77" s="290"/>
    </row>
    <row r="78" spans="1:35" ht="12.75" customHeight="1">
      <c r="A78" s="290"/>
      <c r="B78" s="290"/>
      <c r="C78" s="290"/>
      <c r="D78" s="290"/>
      <c r="E78" s="290"/>
      <c r="F78" s="290"/>
      <c r="G78" s="290"/>
      <c r="H78" s="553">
        <f t="shared" si="10"/>
        <v>1981</v>
      </c>
      <c r="I78" s="290"/>
      <c r="J78" s="290"/>
      <c r="K78" s="290"/>
      <c r="L78" s="554">
        <v>145.15</v>
      </c>
      <c r="M78" s="555"/>
      <c r="N78" s="555">
        <v>1121.73</v>
      </c>
      <c r="O78" s="588"/>
      <c r="P78" s="555">
        <v>1086.8699999999999</v>
      </c>
      <c r="Q78" s="290"/>
      <c r="R78" s="555">
        <v>1107.6500000000001</v>
      </c>
      <c r="S78" s="290"/>
      <c r="T78" s="1267"/>
      <c r="U78" s="1267"/>
      <c r="V78" s="1267"/>
      <c r="W78" s="290"/>
      <c r="X78" s="290"/>
      <c r="Y78" s="290"/>
      <c r="Z78" s="290"/>
      <c r="AA78" s="290"/>
      <c r="AB78" s="290"/>
      <c r="AC78" s="290"/>
      <c r="AD78" s="290"/>
      <c r="AE78" s="290"/>
      <c r="AF78" s="290"/>
      <c r="AG78" s="290"/>
      <c r="AH78" s="290"/>
      <c r="AI78" s="290"/>
    </row>
    <row r="79" spans="1:35" ht="12.75" customHeight="1">
      <c r="A79" s="290"/>
      <c r="B79" s="290"/>
      <c r="C79" s="290"/>
      <c r="D79" s="290"/>
      <c r="E79" s="290"/>
      <c r="F79" s="290"/>
      <c r="G79" s="290"/>
      <c r="H79" s="553">
        <f t="shared" si="10"/>
        <v>1982</v>
      </c>
      <c r="I79" s="290"/>
      <c r="J79" s="290"/>
      <c r="K79" s="290"/>
      <c r="L79" s="554">
        <v>115.48</v>
      </c>
      <c r="M79" s="555"/>
      <c r="N79" s="555">
        <v>893.13</v>
      </c>
      <c r="O79" s="588"/>
      <c r="P79" s="555">
        <v>865.38</v>
      </c>
      <c r="Q79" s="290"/>
      <c r="R79" s="555">
        <v>881.92</v>
      </c>
      <c r="S79" s="290"/>
      <c r="T79" s="1267"/>
      <c r="U79" s="1267"/>
      <c r="V79" s="1267"/>
      <c r="W79" s="290"/>
      <c r="X79" s="290"/>
      <c r="Y79" s="290"/>
      <c r="Z79" s="290"/>
      <c r="AA79" s="290"/>
      <c r="AB79" s="290"/>
      <c r="AC79" s="290"/>
      <c r="AD79" s="290"/>
      <c r="AE79" s="290"/>
      <c r="AF79" s="290"/>
      <c r="AG79" s="290"/>
      <c r="AH79" s="290"/>
      <c r="AI79" s="290"/>
    </row>
    <row r="80" spans="1:35">
      <c r="A80" s="290"/>
      <c r="B80" s="290"/>
      <c r="C80" s="290"/>
      <c r="D80" s="290"/>
      <c r="E80" s="290"/>
      <c r="F80" s="290"/>
      <c r="G80" s="290"/>
      <c r="H80" s="553">
        <f t="shared" si="10"/>
        <v>1983</v>
      </c>
      <c r="I80" s="290"/>
      <c r="J80" s="290"/>
      <c r="K80" s="290"/>
      <c r="L80" s="554">
        <v>92.79</v>
      </c>
      <c r="M80" s="555"/>
      <c r="N80" s="555">
        <v>717.7</v>
      </c>
      <c r="O80" s="588"/>
      <c r="P80" s="555">
        <v>695.39</v>
      </c>
      <c r="Q80" s="290"/>
      <c r="R80" s="555">
        <v>708.68</v>
      </c>
      <c r="S80" s="290"/>
      <c r="T80" s="1267"/>
      <c r="U80" s="1267"/>
      <c r="V80" s="1267"/>
      <c r="W80" s="290"/>
      <c r="X80" s="290"/>
      <c r="Y80" s="290"/>
      <c r="Z80" s="290"/>
      <c r="AA80" s="290"/>
      <c r="AB80" s="290"/>
      <c r="AC80" s="290"/>
      <c r="AD80" s="290"/>
      <c r="AE80" s="290"/>
      <c r="AF80" s="290"/>
      <c r="AG80" s="290"/>
      <c r="AH80" s="290"/>
      <c r="AI80" s="290"/>
    </row>
    <row r="81" spans="1:35">
      <c r="A81" s="290"/>
      <c r="B81" s="290"/>
      <c r="C81" s="290"/>
      <c r="D81" s="290"/>
      <c r="E81" s="290"/>
      <c r="F81" s="290"/>
      <c r="G81" s="290"/>
      <c r="H81" s="553">
        <f t="shared" si="10"/>
        <v>1984</v>
      </c>
      <c r="I81" s="290"/>
      <c r="J81" s="290"/>
      <c r="K81" s="290"/>
      <c r="L81" s="554">
        <v>79.7</v>
      </c>
      <c r="M81" s="555"/>
      <c r="N81" s="555">
        <v>616.69000000000005</v>
      </c>
      <c r="O81" s="588"/>
      <c r="P81" s="555">
        <v>597.52</v>
      </c>
      <c r="Q81" s="290"/>
      <c r="R81" s="555">
        <v>608.94000000000005</v>
      </c>
      <c r="S81" s="290"/>
      <c r="T81" s="1267"/>
      <c r="U81" s="1267"/>
      <c r="V81" s="1267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</row>
    <row r="82" spans="1:35">
      <c r="A82" s="290"/>
      <c r="B82" s="290"/>
      <c r="C82" s="290"/>
      <c r="D82" s="290"/>
      <c r="E82" s="290"/>
      <c r="F82" s="290"/>
      <c r="G82" s="290"/>
      <c r="H82" s="553">
        <f t="shared" si="10"/>
        <v>1985</v>
      </c>
      <c r="I82" s="290"/>
      <c r="J82" s="290"/>
      <c r="K82" s="290"/>
      <c r="L82" s="554">
        <v>67.489999999999995</v>
      </c>
      <c r="M82" s="555"/>
      <c r="N82" s="555">
        <v>535.16999999999996</v>
      </c>
      <c r="O82" s="588"/>
      <c r="P82" s="555">
        <v>518.54</v>
      </c>
      <c r="Q82" s="290"/>
      <c r="R82" s="555">
        <v>528.45000000000005</v>
      </c>
      <c r="S82" s="290"/>
      <c r="T82" s="1267"/>
      <c r="U82" s="1267"/>
      <c r="V82" s="1267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</row>
    <row r="83" spans="1:35">
      <c r="A83" s="290"/>
      <c r="B83" s="290"/>
      <c r="C83" s="290"/>
      <c r="D83" s="290"/>
      <c r="E83" s="290"/>
      <c r="F83" s="290"/>
      <c r="G83" s="290"/>
      <c r="H83" s="553">
        <f t="shared" si="10"/>
        <v>1986</v>
      </c>
      <c r="I83" s="290"/>
      <c r="J83" s="290"/>
      <c r="K83" s="290"/>
      <c r="L83" s="554">
        <v>55.27</v>
      </c>
      <c r="M83" s="555"/>
      <c r="N83" s="555">
        <v>443.02</v>
      </c>
      <c r="O83" s="588"/>
      <c r="P83" s="555">
        <v>429.25</v>
      </c>
      <c r="Q83" s="290"/>
      <c r="R83" s="555">
        <v>437.46</v>
      </c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</row>
    <row r="84" spans="1:35">
      <c r="A84" s="290"/>
      <c r="B84" s="290"/>
      <c r="C84" s="290"/>
      <c r="D84" s="290"/>
      <c r="E84" s="290"/>
      <c r="F84" s="290"/>
      <c r="G84" s="290"/>
      <c r="H84" s="553">
        <f t="shared" si="10"/>
        <v>1987</v>
      </c>
      <c r="I84" s="290"/>
      <c r="J84" s="290"/>
      <c r="K84" s="290"/>
      <c r="L84" s="554">
        <v>45.67</v>
      </c>
      <c r="M84" s="555"/>
      <c r="N84" s="555">
        <v>375.68</v>
      </c>
      <c r="O84" s="588"/>
      <c r="P84" s="555">
        <v>364.01</v>
      </c>
      <c r="Q84" s="290"/>
      <c r="R84" s="555">
        <v>370.97</v>
      </c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  <c r="AI84" s="290"/>
    </row>
    <row r="85" spans="1:35">
      <c r="A85" s="290"/>
      <c r="B85" s="290"/>
      <c r="C85" s="290"/>
      <c r="D85" s="290"/>
      <c r="E85" s="290"/>
      <c r="F85" s="290"/>
      <c r="G85" s="290"/>
      <c r="H85" s="553">
        <f t="shared" si="10"/>
        <v>1988</v>
      </c>
      <c r="I85" s="290"/>
      <c r="J85" s="290"/>
      <c r="K85" s="290"/>
      <c r="L85" s="554">
        <v>37.229999999999997</v>
      </c>
      <c r="M85" s="555"/>
      <c r="N85" s="555">
        <v>283.52999999999997</v>
      </c>
      <c r="O85" s="588"/>
      <c r="P85" s="555">
        <v>274.72000000000003</v>
      </c>
      <c r="Q85" s="290"/>
      <c r="R85" s="555">
        <v>279.97000000000003</v>
      </c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</row>
    <row r="86" spans="1:35">
      <c r="A86" s="290"/>
      <c r="B86" s="290"/>
      <c r="C86" s="290"/>
      <c r="D86" s="290"/>
      <c r="E86" s="290"/>
      <c r="F86" s="290"/>
      <c r="G86" s="290"/>
      <c r="H86" s="553">
        <f t="shared" si="10"/>
        <v>1989</v>
      </c>
      <c r="I86" s="290"/>
      <c r="J86" s="290"/>
      <c r="K86" s="290"/>
      <c r="L86" s="554">
        <v>29.17</v>
      </c>
      <c r="M86" s="555"/>
      <c r="N86" s="555">
        <v>176.77</v>
      </c>
      <c r="O86" s="588"/>
      <c r="P86" s="555">
        <v>171.27</v>
      </c>
      <c r="Q86" s="290"/>
      <c r="R86" s="555">
        <v>174.55</v>
      </c>
      <c r="S86" s="290"/>
      <c r="T86" s="290"/>
      <c r="U86" s="290"/>
      <c r="V86" s="290"/>
      <c r="W86" s="290"/>
      <c r="X86" s="290"/>
      <c r="Y86" s="290"/>
      <c r="Z86" s="290"/>
      <c r="AA86" s="290"/>
      <c r="AB86" s="290"/>
      <c r="AC86" s="290"/>
      <c r="AD86" s="290"/>
      <c r="AE86" s="290"/>
      <c r="AF86" s="290"/>
      <c r="AG86" s="290"/>
      <c r="AH86" s="290"/>
      <c r="AI86" s="290"/>
    </row>
    <row r="87" spans="1:35">
      <c r="A87" s="290"/>
      <c r="B87" s="290"/>
      <c r="C87" s="290"/>
      <c r="D87" s="290"/>
      <c r="E87" s="290"/>
      <c r="F87" s="290"/>
      <c r="G87" s="290"/>
      <c r="H87" s="553">
        <f t="shared" si="10"/>
        <v>1990</v>
      </c>
      <c r="I87" s="290"/>
      <c r="J87" s="290"/>
      <c r="K87" s="290"/>
      <c r="L87" s="554">
        <v>23.14</v>
      </c>
      <c r="M87" s="555"/>
      <c r="N87" s="555">
        <v>122.25</v>
      </c>
      <c r="O87" s="588"/>
      <c r="P87" s="555">
        <v>118.45</v>
      </c>
      <c r="Q87" s="290"/>
      <c r="R87" s="555">
        <v>120.71</v>
      </c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</row>
    <row r="88" spans="1:35">
      <c r="A88" s="290"/>
      <c r="B88" s="290"/>
      <c r="C88" s="290"/>
      <c r="D88" s="290"/>
      <c r="E88" s="290"/>
      <c r="F88" s="290"/>
      <c r="G88" s="290"/>
      <c r="H88" s="553">
        <f t="shared" si="10"/>
        <v>1991</v>
      </c>
      <c r="I88" s="290"/>
      <c r="J88" s="290"/>
      <c r="K88" s="290"/>
      <c r="L88" s="554">
        <v>17.54</v>
      </c>
      <c r="M88" s="555"/>
      <c r="N88" s="555">
        <v>85.19</v>
      </c>
      <c r="O88" s="588"/>
      <c r="P88" s="555">
        <v>82.54</v>
      </c>
      <c r="Q88" s="290"/>
      <c r="R88" s="555">
        <v>84.12</v>
      </c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</row>
    <row r="89" spans="1:35">
      <c r="A89" s="290"/>
      <c r="B89" s="290"/>
      <c r="C89" s="290"/>
      <c r="D89" s="290"/>
      <c r="E89" s="290"/>
      <c r="F89" s="290"/>
      <c r="G89" s="290"/>
      <c r="H89" s="553">
        <f t="shared" si="10"/>
        <v>1992</v>
      </c>
      <c r="I89" s="290"/>
      <c r="J89" s="290"/>
      <c r="K89" s="290"/>
      <c r="L89" s="554">
        <v>13.82</v>
      </c>
      <c r="M89" s="555"/>
      <c r="N89" s="555">
        <v>63.81</v>
      </c>
      <c r="O89" s="588"/>
      <c r="P89" s="555">
        <v>61.83</v>
      </c>
      <c r="Q89" s="290"/>
      <c r="R89" s="555">
        <v>63.01</v>
      </c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</row>
    <row r="90" spans="1:35">
      <c r="A90" s="290"/>
      <c r="B90" s="290"/>
      <c r="C90" s="290"/>
      <c r="D90" s="290"/>
      <c r="E90" s="290"/>
      <c r="F90" s="290"/>
      <c r="G90" s="290"/>
      <c r="H90" s="553">
        <f t="shared" si="10"/>
        <v>1993</v>
      </c>
      <c r="I90" s="290"/>
      <c r="J90" s="290"/>
      <c r="K90" s="290"/>
      <c r="L90" s="554">
        <v>11.09</v>
      </c>
      <c r="M90" s="555"/>
      <c r="N90" s="555">
        <v>45.35</v>
      </c>
      <c r="O90" s="588"/>
      <c r="P90" s="555">
        <v>43.94</v>
      </c>
      <c r="Q90" s="290"/>
      <c r="R90" s="555">
        <v>44.78</v>
      </c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</row>
    <row r="91" spans="1:35">
      <c r="A91" s="290"/>
      <c r="B91" s="290"/>
      <c r="C91" s="290"/>
      <c r="D91" s="290"/>
      <c r="E91" s="290"/>
      <c r="F91" s="290"/>
      <c r="G91" s="290"/>
      <c r="H91" s="553">
        <f t="shared" si="10"/>
        <v>1994</v>
      </c>
      <c r="I91" s="290"/>
      <c r="J91" s="290"/>
      <c r="K91" s="290"/>
      <c r="L91" s="554">
        <v>9.0500000000000007</v>
      </c>
      <c r="M91" s="555"/>
      <c r="N91" s="555">
        <v>32.979999999999997</v>
      </c>
      <c r="O91" s="588"/>
      <c r="P91" s="555">
        <v>31.96</v>
      </c>
      <c r="Q91" s="290"/>
      <c r="R91" s="555">
        <v>32.57</v>
      </c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</row>
    <row r="92" spans="1:35">
      <c r="A92" s="290"/>
      <c r="B92" s="290"/>
      <c r="C92" s="290"/>
      <c r="D92" s="290"/>
      <c r="E92" s="290"/>
      <c r="F92" s="290"/>
      <c r="G92" s="290"/>
      <c r="H92" s="553">
        <f t="shared" si="10"/>
        <v>1995</v>
      </c>
      <c r="I92" s="290"/>
      <c r="J92" s="290"/>
      <c r="K92" s="290"/>
      <c r="L92" s="554">
        <v>7.41</v>
      </c>
      <c r="M92" s="555"/>
      <c r="N92" s="555">
        <v>23.5</v>
      </c>
      <c r="O92" s="588"/>
      <c r="P92" s="555">
        <v>22.77</v>
      </c>
      <c r="Q92" s="290"/>
      <c r="R92" s="555">
        <v>23.2</v>
      </c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90"/>
      <c r="AI92" s="290"/>
    </row>
    <row r="93" spans="1:35">
      <c r="A93" s="290"/>
      <c r="B93" s="290"/>
      <c r="C93" s="290"/>
      <c r="D93" s="290"/>
      <c r="E93" s="290"/>
      <c r="F93" s="290"/>
      <c r="G93" s="290"/>
      <c r="H93" s="553">
        <f t="shared" si="10"/>
        <v>1996</v>
      </c>
      <c r="I93" s="290"/>
      <c r="J93" s="290"/>
      <c r="K93" s="290"/>
      <c r="L93" s="554">
        <v>6.28</v>
      </c>
      <c r="M93" s="555"/>
      <c r="N93" s="555">
        <v>17.37</v>
      </c>
      <c r="O93" s="588"/>
      <c r="P93" s="555">
        <v>16.829999999999998</v>
      </c>
      <c r="Q93" s="290"/>
      <c r="R93" s="555">
        <v>17.149999999999999</v>
      </c>
      <c r="S93" s="290"/>
      <c r="T93" s="290"/>
      <c r="U93" s="290"/>
      <c r="V93" s="290"/>
      <c r="W93" s="290"/>
      <c r="X93" s="290"/>
      <c r="Y93" s="290"/>
      <c r="Z93" s="290"/>
      <c r="AA93" s="290"/>
      <c r="AB93" s="290"/>
      <c r="AC93" s="290"/>
      <c r="AD93" s="290"/>
      <c r="AE93" s="290"/>
      <c r="AF93" s="290"/>
      <c r="AG93" s="290"/>
      <c r="AH93" s="290"/>
      <c r="AI93" s="290"/>
    </row>
    <row r="94" spans="1:35">
      <c r="A94" s="290"/>
      <c r="B94" s="290"/>
      <c r="C94" s="290"/>
      <c r="D94" s="290"/>
      <c r="E94" s="290"/>
      <c r="F94" s="290"/>
      <c r="G94" s="290"/>
      <c r="H94" s="553">
        <f t="shared" si="10"/>
        <v>1997</v>
      </c>
      <c r="I94" s="290"/>
      <c r="J94" s="290"/>
      <c r="K94" s="290"/>
      <c r="L94" s="554">
        <v>5.41</v>
      </c>
      <c r="M94" s="555"/>
      <c r="N94" s="555">
        <v>14.41</v>
      </c>
      <c r="O94" s="588"/>
      <c r="P94" s="555">
        <v>13.97</v>
      </c>
      <c r="Q94" s="290"/>
      <c r="R94" s="555">
        <v>14.23</v>
      </c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</row>
    <row r="95" spans="1:35">
      <c r="A95" s="290"/>
      <c r="B95" s="290"/>
      <c r="C95" s="290"/>
      <c r="D95" s="290"/>
      <c r="E95" s="290"/>
      <c r="F95" s="290"/>
      <c r="G95" s="290"/>
      <c r="H95" s="553">
        <f t="shared" si="10"/>
        <v>1998</v>
      </c>
      <c r="I95" s="290"/>
      <c r="J95" s="290"/>
      <c r="K95" s="290"/>
      <c r="L95" s="554">
        <v>4.6100000000000003</v>
      </c>
      <c r="M95" s="555"/>
      <c r="N95" s="555">
        <v>11.07</v>
      </c>
      <c r="O95" s="588"/>
      <c r="P95" s="555">
        <v>10.73</v>
      </c>
      <c r="Q95" s="290"/>
      <c r="R95" s="555">
        <v>10.93</v>
      </c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90"/>
      <c r="AH95" s="290"/>
      <c r="AI95" s="290"/>
    </row>
    <row r="96" spans="1:35">
      <c r="A96" s="290"/>
      <c r="B96" s="290"/>
      <c r="C96" s="290"/>
      <c r="D96" s="290"/>
      <c r="E96" s="290"/>
      <c r="F96" s="290"/>
      <c r="G96" s="290"/>
      <c r="H96" s="553">
        <f t="shared" si="10"/>
        <v>1999</v>
      </c>
      <c r="I96" s="290"/>
      <c r="J96" s="290"/>
      <c r="K96" s="290"/>
      <c r="L96" s="554">
        <v>3.97</v>
      </c>
      <c r="M96" s="555"/>
      <c r="N96" s="555">
        <v>9.23</v>
      </c>
      <c r="O96" s="588"/>
      <c r="P96" s="555">
        <v>8.94</v>
      </c>
      <c r="Q96" s="290"/>
      <c r="R96" s="555">
        <v>9.11</v>
      </c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90"/>
      <c r="AH96" s="290"/>
      <c r="AI96" s="290"/>
    </row>
    <row r="97" spans="1:35">
      <c r="A97" s="290"/>
      <c r="B97" s="290"/>
      <c r="C97" s="290"/>
      <c r="D97" s="290"/>
      <c r="E97" s="290"/>
      <c r="F97" s="290"/>
      <c r="G97" s="290"/>
      <c r="H97" s="553">
        <f t="shared" si="10"/>
        <v>2000</v>
      </c>
      <c r="I97" s="290"/>
      <c r="J97" s="290"/>
      <c r="K97" s="290"/>
      <c r="L97" s="554">
        <v>3.64</v>
      </c>
      <c r="M97" s="555"/>
      <c r="N97" s="555">
        <v>9.16</v>
      </c>
      <c r="O97" s="588"/>
      <c r="P97" s="555">
        <v>8.8800000000000008</v>
      </c>
      <c r="Q97" s="290"/>
      <c r="R97" s="555">
        <v>9.0500000000000007</v>
      </c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0"/>
      <c r="AH97" s="290"/>
      <c r="AI97" s="290"/>
    </row>
    <row r="98" spans="1:35">
      <c r="A98" s="290"/>
      <c r="B98" s="290"/>
      <c r="C98" s="290"/>
      <c r="D98" s="290"/>
      <c r="E98" s="290"/>
      <c r="F98" s="290"/>
      <c r="G98" s="290"/>
      <c r="H98" s="553">
        <f t="shared" si="10"/>
        <v>2001</v>
      </c>
      <c r="I98" s="290"/>
      <c r="J98" s="290"/>
      <c r="K98" s="290"/>
      <c r="L98" s="554">
        <v>3.36</v>
      </c>
      <c r="M98" s="555"/>
      <c r="N98" s="555">
        <v>8.86</v>
      </c>
      <c r="O98" s="588"/>
      <c r="P98" s="555">
        <v>8.59</v>
      </c>
      <c r="Q98" s="290"/>
      <c r="R98" s="555">
        <v>8.75</v>
      </c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90"/>
      <c r="AH98" s="290"/>
      <c r="AI98" s="290"/>
    </row>
    <row r="99" spans="1:35">
      <c r="A99" s="290"/>
      <c r="B99" s="290"/>
      <c r="C99" s="290"/>
      <c r="D99" s="290"/>
      <c r="E99" s="290"/>
      <c r="F99" s="290"/>
      <c r="G99" s="290"/>
      <c r="H99" s="553">
        <f t="shared" si="10"/>
        <v>2002</v>
      </c>
      <c r="I99" s="290"/>
      <c r="J99" s="290"/>
      <c r="K99" s="290"/>
      <c r="L99" s="554">
        <v>3.13</v>
      </c>
      <c r="M99" s="555"/>
      <c r="N99" s="555">
        <v>8.19</v>
      </c>
      <c r="O99" s="588"/>
      <c r="P99" s="555">
        <v>7.94</v>
      </c>
      <c r="Q99" s="290"/>
      <c r="R99" s="555">
        <v>8.09</v>
      </c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90"/>
      <c r="AH99" s="290"/>
      <c r="AI99" s="290"/>
    </row>
    <row r="100" spans="1:35">
      <c r="A100" s="290"/>
      <c r="B100" s="290"/>
      <c r="C100" s="290"/>
      <c r="D100" s="290"/>
      <c r="E100" s="290"/>
      <c r="F100" s="290"/>
      <c r="G100" s="290"/>
      <c r="H100" s="553">
        <f t="shared" si="10"/>
        <v>2003</v>
      </c>
      <c r="I100" s="290"/>
      <c r="J100" s="290"/>
      <c r="K100" s="290"/>
      <c r="L100" s="554">
        <v>2.93</v>
      </c>
      <c r="M100" s="555"/>
      <c r="N100" s="555">
        <v>7.35</v>
      </c>
      <c r="O100" s="588"/>
      <c r="P100" s="555">
        <v>7.12</v>
      </c>
      <c r="Q100" s="290"/>
      <c r="R100" s="555">
        <v>7.26</v>
      </c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</row>
    <row r="101" spans="1:35">
      <c r="A101" s="290"/>
      <c r="B101" s="290"/>
      <c r="C101" s="290"/>
      <c r="D101" s="290"/>
      <c r="E101" s="290"/>
      <c r="F101" s="290"/>
      <c r="G101" s="290"/>
      <c r="H101" s="553">
        <f t="shared" si="10"/>
        <v>2004</v>
      </c>
      <c r="I101" s="290"/>
      <c r="J101" s="290"/>
      <c r="K101" s="290"/>
      <c r="L101" s="554">
        <v>2.75</v>
      </c>
      <c r="M101" s="555"/>
      <c r="N101" s="555">
        <v>6.92</v>
      </c>
      <c r="O101" s="588"/>
      <c r="P101" s="555">
        <v>6.7</v>
      </c>
      <c r="Q101" s="290"/>
      <c r="R101" s="555">
        <v>6.83</v>
      </c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90"/>
      <c r="AH101" s="290"/>
      <c r="AI101" s="290"/>
    </row>
    <row r="102" spans="1:35">
      <c r="A102" s="290"/>
      <c r="B102" s="290"/>
      <c r="C102" s="290"/>
      <c r="D102" s="290"/>
      <c r="E102" s="290"/>
      <c r="F102" s="290"/>
      <c r="G102" s="290"/>
      <c r="H102" s="553">
        <f t="shared" si="10"/>
        <v>2005</v>
      </c>
      <c r="I102" s="290"/>
      <c r="J102" s="290"/>
      <c r="K102" s="290"/>
      <c r="L102" s="554">
        <v>2.61</v>
      </c>
      <c r="M102" s="555"/>
      <c r="N102" s="555">
        <v>6.5</v>
      </c>
      <c r="O102" s="588"/>
      <c r="P102" s="555">
        <v>6.29</v>
      </c>
      <c r="Q102" s="290"/>
      <c r="R102" s="555">
        <v>6.41</v>
      </c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90"/>
      <c r="AH102" s="290"/>
      <c r="AI102" s="290"/>
    </row>
    <row r="103" spans="1:35">
      <c r="A103" s="290"/>
      <c r="B103" s="290"/>
      <c r="C103" s="290"/>
      <c r="D103" s="290"/>
      <c r="E103" s="290"/>
      <c r="F103" s="290"/>
      <c r="G103" s="290"/>
      <c r="H103" s="553">
        <f t="shared" si="10"/>
        <v>2006</v>
      </c>
      <c r="I103" s="290"/>
      <c r="J103" s="290"/>
      <c r="K103" s="290"/>
      <c r="L103" s="554">
        <v>2.48</v>
      </c>
      <c r="M103" s="555"/>
      <c r="N103" s="555">
        <v>6.15</v>
      </c>
      <c r="O103" s="588"/>
      <c r="P103" s="555">
        <v>5.96</v>
      </c>
      <c r="Q103" s="290"/>
      <c r="R103" s="555">
        <v>6.07</v>
      </c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</row>
    <row r="104" spans="1:35">
      <c r="A104" s="290"/>
      <c r="B104" s="290"/>
      <c r="C104" s="290"/>
      <c r="D104" s="290"/>
      <c r="E104" s="290"/>
      <c r="F104" s="290"/>
      <c r="G104" s="290"/>
      <c r="H104" s="553">
        <f t="shared" si="10"/>
        <v>2007</v>
      </c>
      <c r="I104" s="290"/>
      <c r="J104" s="290"/>
      <c r="K104" s="290"/>
      <c r="L104" s="554">
        <v>2.37</v>
      </c>
      <c r="M104" s="555"/>
      <c r="N104" s="555">
        <v>4.67</v>
      </c>
      <c r="O104" s="588"/>
      <c r="P104" s="555">
        <v>4.53</v>
      </c>
      <c r="Q104" s="290"/>
      <c r="R104" s="555">
        <v>4.62</v>
      </c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90"/>
      <c r="AH104" s="290"/>
      <c r="AI104" s="290"/>
    </row>
    <row r="105" spans="1:35">
      <c r="A105" s="290"/>
      <c r="B105" s="290"/>
      <c r="C105" s="290"/>
      <c r="D105" s="290"/>
      <c r="E105" s="290"/>
      <c r="F105" s="290"/>
      <c r="G105" s="290"/>
      <c r="H105" s="553">
        <f t="shared" si="10"/>
        <v>2008</v>
      </c>
      <c r="I105" s="290"/>
      <c r="J105" s="290"/>
      <c r="K105" s="290"/>
      <c r="L105" s="554">
        <v>2.2400000000000002</v>
      </c>
      <c r="M105" s="555"/>
      <c r="N105" s="555">
        <v>4.16</v>
      </c>
      <c r="O105" s="588"/>
      <c r="P105" s="555">
        <v>4.03</v>
      </c>
      <c r="Q105" s="290"/>
      <c r="R105" s="555">
        <v>4.1100000000000003</v>
      </c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90"/>
      <c r="AH105" s="290"/>
      <c r="AI105" s="290"/>
    </row>
    <row r="106" spans="1:35">
      <c r="A106" s="290"/>
      <c r="B106" s="290"/>
      <c r="C106" s="290"/>
      <c r="D106" s="290"/>
      <c r="E106" s="290"/>
      <c r="F106" s="290"/>
      <c r="G106" s="290"/>
      <c r="H106" s="553">
        <f t="shared" si="10"/>
        <v>2009</v>
      </c>
      <c r="I106" s="290"/>
      <c r="J106" s="290"/>
      <c r="K106" s="290"/>
      <c r="L106" s="554">
        <v>2.04</v>
      </c>
      <c r="M106" s="555"/>
      <c r="N106" s="555">
        <v>3.43</v>
      </c>
      <c r="O106" s="588"/>
      <c r="P106" s="555">
        <v>3.32</v>
      </c>
      <c r="Q106" s="290"/>
      <c r="R106" s="555">
        <v>3.38</v>
      </c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90"/>
      <c r="AH106" s="290"/>
      <c r="AI106" s="290"/>
    </row>
    <row r="107" spans="1:35">
      <c r="A107" s="290"/>
      <c r="B107" s="290"/>
      <c r="C107" s="290"/>
      <c r="D107" s="290"/>
      <c r="E107" s="290"/>
      <c r="F107" s="290"/>
      <c r="G107" s="290"/>
      <c r="H107" s="553">
        <f t="shared" si="10"/>
        <v>2010</v>
      </c>
      <c r="I107" s="290"/>
      <c r="J107" s="290"/>
      <c r="K107" s="290"/>
      <c r="L107" s="554">
        <v>2.0299999999999998</v>
      </c>
      <c r="M107" s="555"/>
      <c r="N107" s="555">
        <v>3.12</v>
      </c>
      <c r="O107" s="588"/>
      <c r="P107" s="555">
        <v>3.02</v>
      </c>
      <c r="Q107" s="290"/>
      <c r="R107" s="555">
        <v>3.08</v>
      </c>
      <c r="S107" s="290"/>
      <c r="T107" s="290"/>
      <c r="U107" s="290"/>
      <c r="V107" s="290"/>
      <c r="W107" s="290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0"/>
      <c r="AH107" s="290"/>
      <c r="AI107" s="290"/>
    </row>
    <row r="108" spans="1:35">
      <c r="A108" s="290"/>
      <c r="B108" s="290"/>
      <c r="C108" s="290"/>
      <c r="D108" s="290"/>
      <c r="E108" s="290"/>
      <c r="F108" s="290"/>
      <c r="G108" s="290"/>
      <c r="H108" s="553">
        <f t="shared" si="10"/>
        <v>2011</v>
      </c>
      <c r="I108" s="290"/>
      <c r="J108" s="290"/>
      <c r="K108" s="290"/>
      <c r="L108" s="554">
        <v>1.97</v>
      </c>
      <c r="M108" s="555"/>
      <c r="N108" s="555">
        <v>2.86</v>
      </c>
      <c r="O108" s="588"/>
      <c r="P108" s="555">
        <v>2.77</v>
      </c>
      <c r="Q108" s="290"/>
      <c r="R108" s="555">
        <v>2.82</v>
      </c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90"/>
      <c r="AH108" s="290"/>
      <c r="AI108" s="290"/>
    </row>
    <row r="109" spans="1:35">
      <c r="A109" s="290"/>
      <c r="B109" s="290"/>
      <c r="C109" s="290"/>
      <c r="D109" s="290"/>
      <c r="E109" s="290"/>
      <c r="F109" s="290"/>
      <c r="G109" s="290"/>
      <c r="H109" s="553">
        <f t="shared" si="10"/>
        <v>2012</v>
      </c>
      <c r="I109" s="290"/>
      <c r="J109" s="290"/>
      <c r="K109" s="290"/>
      <c r="L109" s="554">
        <v>1.9</v>
      </c>
      <c r="M109" s="555"/>
      <c r="N109" s="555">
        <v>2.39</v>
      </c>
      <c r="O109" s="588"/>
      <c r="P109" s="555">
        <v>2.3199999999999998</v>
      </c>
      <c r="Q109" s="290"/>
      <c r="R109" s="555">
        <v>2.36</v>
      </c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90"/>
      <c r="AH109" s="290"/>
      <c r="AI109" s="290"/>
    </row>
    <row r="110" spans="1:35">
      <c r="A110" s="290"/>
      <c r="B110" s="290"/>
      <c r="C110" s="290"/>
      <c r="D110" s="290"/>
      <c r="E110" s="290"/>
      <c r="F110" s="290"/>
      <c r="G110" s="290"/>
      <c r="H110" s="553">
        <f t="shared" si="10"/>
        <v>2013</v>
      </c>
      <c r="I110" s="290"/>
      <c r="J110" s="290"/>
      <c r="K110" s="290"/>
      <c r="L110" s="554">
        <v>1.85</v>
      </c>
      <c r="M110" s="555"/>
      <c r="N110" s="555">
        <v>2.0499999999999998</v>
      </c>
      <c r="O110" s="588"/>
      <c r="P110" s="555">
        <v>1.99</v>
      </c>
      <c r="Q110" s="290"/>
      <c r="R110" s="555">
        <v>2.0299999999999998</v>
      </c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90"/>
      <c r="AH110" s="290"/>
      <c r="AI110" s="290"/>
    </row>
    <row r="111" spans="1:35">
      <c r="A111" s="290"/>
      <c r="B111" s="290"/>
      <c r="C111" s="290"/>
      <c r="D111" s="290"/>
      <c r="E111" s="290"/>
      <c r="F111" s="290"/>
      <c r="G111" s="290"/>
      <c r="H111" s="553">
        <f t="shared" si="10"/>
        <v>2014</v>
      </c>
      <c r="I111" s="290"/>
      <c r="J111" s="290"/>
      <c r="K111" s="290"/>
      <c r="L111" s="554">
        <v>1.85</v>
      </c>
      <c r="M111" s="555"/>
      <c r="N111" s="555">
        <v>1.81</v>
      </c>
      <c r="O111" s="588"/>
      <c r="P111" s="555">
        <v>1.76</v>
      </c>
      <c r="Q111" s="290"/>
      <c r="R111" s="555">
        <v>1.79</v>
      </c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90"/>
      <c r="AH111" s="290"/>
      <c r="AI111" s="290"/>
    </row>
    <row r="112" spans="1:35">
      <c r="A112" s="290"/>
      <c r="B112" s="290"/>
      <c r="C112" s="290"/>
      <c r="D112" s="290"/>
      <c r="E112" s="290"/>
      <c r="F112" s="290"/>
      <c r="G112" s="290"/>
      <c r="H112" s="553">
        <f t="shared" si="10"/>
        <v>2015</v>
      </c>
      <c r="I112" s="290"/>
      <c r="J112" s="290"/>
      <c r="K112" s="290"/>
      <c r="L112" s="554">
        <v>1.75</v>
      </c>
      <c r="M112" s="555"/>
      <c r="N112" s="555">
        <v>1.68</v>
      </c>
      <c r="O112" s="588"/>
      <c r="P112" s="555">
        <v>1.63</v>
      </c>
      <c r="Q112" s="290"/>
      <c r="R112" s="555">
        <v>1.66</v>
      </c>
      <c r="S112" s="290"/>
      <c r="T112" s="290"/>
      <c r="U112" s="290"/>
      <c r="V112" s="290"/>
      <c r="W112" s="290"/>
      <c r="X112" s="290"/>
      <c r="Y112" s="290"/>
      <c r="Z112" s="290"/>
      <c r="AA112" s="290"/>
      <c r="AB112" s="290"/>
      <c r="AC112" s="290"/>
      <c r="AD112" s="290"/>
      <c r="AE112" s="290"/>
      <c r="AF112" s="290"/>
      <c r="AG112" s="290"/>
      <c r="AH112" s="290"/>
      <c r="AI112" s="290"/>
    </row>
    <row r="113" spans="1:35">
      <c r="A113" s="290"/>
      <c r="B113" s="290"/>
      <c r="C113" s="290"/>
      <c r="D113" s="290"/>
      <c r="E113" s="290"/>
      <c r="F113" s="290"/>
      <c r="G113" s="290"/>
      <c r="H113" s="553">
        <f t="shared" si="10"/>
        <v>2016</v>
      </c>
      <c r="I113" s="290"/>
      <c r="J113" s="290"/>
      <c r="K113" s="290"/>
      <c r="L113" s="554">
        <v>1.64</v>
      </c>
      <c r="M113" s="555"/>
      <c r="N113" s="555">
        <v>1.6</v>
      </c>
      <c r="O113" s="588"/>
      <c r="P113" s="555">
        <v>1.55</v>
      </c>
      <c r="Q113" s="290"/>
      <c r="R113" s="555">
        <v>1.58</v>
      </c>
      <c r="S113" s="290"/>
      <c r="T113" s="290"/>
      <c r="U113" s="290"/>
      <c r="V113" s="290"/>
      <c r="W113" s="290"/>
      <c r="X113" s="290"/>
      <c r="Y113" s="290"/>
      <c r="Z113" s="290"/>
      <c r="AA113" s="290"/>
      <c r="AB113" s="290"/>
      <c r="AC113" s="290"/>
      <c r="AD113" s="290"/>
      <c r="AE113" s="290"/>
      <c r="AF113" s="290"/>
      <c r="AG113" s="290"/>
      <c r="AH113" s="290"/>
      <c r="AI113" s="290"/>
    </row>
    <row r="114" spans="1:35">
      <c r="A114" s="290"/>
      <c r="B114" s="290"/>
      <c r="C114" s="290"/>
      <c r="D114" s="290"/>
      <c r="E114" s="290"/>
      <c r="F114" s="290"/>
      <c r="G114" s="290"/>
      <c r="H114" s="553">
        <f t="shared" si="10"/>
        <v>2017</v>
      </c>
      <c r="I114" s="290"/>
      <c r="J114" s="290"/>
      <c r="K114" s="290"/>
      <c r="L114" s="554">
        <v>1.56</v>
      </c>
      <c r="M114" s="555"/>
      <c r="N114" s="555">
        <v>1.52</v>
      </c>
      <c r="O114" s="588"/>
      <c r="P114" s="555">
        <v>1.48</v>
      </c>
      <c r="Q114" s="290"/>
      <c r="R114" s="555">
        <v>1.5</v>
      </c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90"/>
      <c r="AH114" s="290"/>
      <c r="AI114" s="290"/>
    </row>
    <row r="115" spans="1:35">
      <c r="A115" s="290"/>
      <c r="B115" s="290"/>
      <c r="C115" s="290"/>
      <c r="D115" s="290"/>
      <c r="E115" s="290"/>
      <c r="F115" s="290"/>
      <c r="G115" s="290"/>
      <c r="H115" s="553">
        <f t="shared" si="10"/>
        <v>2018</v>
      </c>
      <c r="I115" s="290"/>
      <c r="J115" s="290"/>
      <c r="K115" s="290"/>
      <c r="L115" s="554">
        <v>1.5</v>
      </c>
      <c r="M115" s="555"/>
      <c r="N115" s="555">
        <v>1.41</v>
      </c>
      <c r="O115" s="588"/>
      <c r="P115" s="555">
        <v>1.36</v>
      </c>
      <c r="Q115" s="290"/>
      <c r="R115" s="555">
        <v>1.39</v>
      </c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</row>
    <row r="116" spans="1:35">
      <c r="A116" s="290"/>
      <c r="B116" s="290"/>
      <c r="C116" s="290"/>
      <c r="D116" s="290"/>
      <c r="E116" s="290"/>
      <c r="F116" s="290"/>
      <c r="G116" s="290"/>
      <c r="H116" s="553">
        <f t="shared" si="10"/>
        <v>2019</v>
      </c>
      <c r="I116" s="290"/>
      <c r="J116" s="290"/>
      <c r="K116" s="290"/>
      <c r="L116" s="554">
        <v>1.45</v>
      </c>
      <c r="M116" s="555"/>
      <c r="N116" s="555">
        <v>1.3</v>
      </c>
      <c r="O116" s="588"/>
      <c r="P116" s="555">
        <v>1.26</v>
      </c>
      <c r="Q116" s="290"/>
      <c r="R116" s="555">
        <v>1.28</v>
      </c>
      <c r="S116" s="290"/>
      <c r="T116" s="290"/>
      <c r="U116" s="290"/>
      <c r="V116" s="290"/>
      <c r="W116" s="290"/>
      <c r="X116" s="290"/>
      <c r="Y116" s="290"/>
      <c r="Z116" s="290"/>
      <c r="AA116" s="290"/>
      <c r="AB116" s="290"/>
      <c r="AC116" s="290"/>
      <c r="AD116" s="290"/>
      <c r="AE116" s="290"/>
      <c r="AF116" s="290"/>
      <c r="AG116" s="290"/>
      <c r="AH116" s="290"/>
      <c r="AI116" s="290"/>
    </row>
    <row r="117" spans="1:35">
      <c r="A117" s="290"/>
      <c r="B117" s="290"/>
      <c r="C117" s="290"/>
      <c r="D117" s="290"/>
      <c r="E117" s="290"/>
      <c r="F117" s="290"/>
      <c r="G117" s="290"/>
      <c r="H117" s="553">
        <f t="shared" si="10"/>
        <v>2020</v>
      </c>
      <c r="I117" s="290"/>
      <c r="J117" s="290"/>
      <c r="K117" s="290"/>
      <c r="L117" s="554">
        <v>1.4</v>
      </c>
      <c r="M117" s="555"/>
      <c r="N117" s="555">
        <v>1.22</v>
      </c>
      <c r="O117" s="588"/>
      <c r="P117" s="555">
        <v>1.18</v>
      </c>
      <c r="Q117" s="290"/>
      <c r="R117" s="555">
        <v>1.21</v>
      </c>
      <c r="S117" s="29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90"/>
      <c r="AH117" s="290"/>
      <c r="AI117" s="290"/>
    </row>
    <row r="118" spans="1:35">
      <c r="A118" s="290"/>
      <c r="B118" s="290"/>
      <c r="C118" s="290"/>
      <c r="D118" s="290"/>
      <c r="E118" s="290"/>
      <c r="F118" s="290"/>
      <c r="G118" s="290"/>
      <c r="H118" s="553">
        <f t="shared" ref="H118:H121" si="11">+H117+1</f>
        <v>2021</v>
      </c>
      <c r="I118" s="290"/>
      <c r="J118" s="290"/>
      <c r="K118" s="290"/>
      <c r="L118" s="554">
        <v>1.38</v>
      </c>
      <c r="M118" s="555"/>
      <c r="N118" s="555">
        <v>1.1599999999999999</v>
      </c>
      <c r="O118" s="588"/>
      <c r="P118" s="555">
        <v>1.1200000000000001</v>
      </c>
      <c r="Q118" s="290"/>
      <c r="R118" s="555">
        <v>1.1399999999999999</v>
      </c>
      <c r="S118" s="29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90"/>
      <c r="AH118" s="290"/>
      <c r="AI118" s="290"/>
    </row>
    <row r="119" spans="1:35">
      <c r="A119" s="290"/>
      <c r="B119" s="290"/>
      <c r="C119" s="290"/>
      <c r="D119" s="290"/>
      <c r="E119" s="290"/>
      <c r="F119" s="290"/>
      <c r="G119" s="290"/>
      <c r="H119" s="553">
        <f t="shared" si="11"/>
        <v>2022</v>
      </c>
      <c r="I119" s="290"/>
      <c r="J119" s="290"/>
      <c r="K119" s="290"/>
      <c r="L119" s="554">
        <v>1.3</v>
      </c>
      <c r="M119" s="555"/>
      <c r="N119" s="555">
        <v>1.1200000000000001</v>
      </c>
      <c r="O119" s="588"/>
      <c r="P119" s="555">
        <v>1.0900000000000001</v>
      </c>
      <c r="Q119" s="290"/>
      <c r="R119" s="555">
        <v>1.1100000000000001</v>
      </c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</row>
    <row r="120" spans="1:35">
      <c r="A120" s="290"/>
      <c r="B120" s="290"/>
      <c r="C120" s="290"/>
      <c r="D120" s="290"/>
      <c r="E120" s="290"/>
      <c r="F120" s="290"/>
      <c r="G120" s="290"/>
      <c r="H120" s="553">
        <f t="shared" si="11"/>
        <v>2023</v>
      </c>
      <c r="I120" s="290"/>
      <c r="J120" s="290"/>
      <c r="K120" s="290"/>
      <c r="L120" s="554">
        <v>1.1499999999999999</v>
      </c>
      <c r="M120" s="555"/>
      <c r="N120" s="555">
        <v>1.0900000000000001</v>
      </c>
      <c r="O120" s="588"/>
      <c r="P120" s="555">
        <v>1.06</v>
      </c>
      <c r="Q120" s="290"/>
      <c r="R120" s="555">
        <v>1.08</v>
      </c>
      <c r="S120" s="29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90"/>
      <c r="AH120" s="290"/>
      <c r="AI120" s="290"/>
    </row>
    <row r="121" spans="1:35">
      <c r="A121" s="290"/>
      <c r="B121" s="290"/>
      <c r="C121" s="290"/>
      <c r="D121" s="290"/>
      <c r="E121" s="290"/>
      <c r="F121" s="290"/>
      <c r="G121" s="290"/>
      <c r="H121" s="553">
        <f t="shared" si="11"/>
        <v>2024</v>
      </c>
      <c r="I121" s="290"/>
      <c r="J121" s="290"/>
      <c r="K121" s="290"/>
      <c r="L121" s="555">
        <v>1.05</v>
      </c>
      <c r="M121" s="555"/>
      <c r="N121" s="555">
        <v>1.05</v>
      </c>
      <c r="O121" s="588"/>
      <c r="P121" s="555">
        <v>1.03</v>
      </c>
      <c r="Q121" s="290"/>
      <c r="R121" s="555">
        <v>1.05</v>
      </c>
      <c r="S121" s="290"/>
      <c r="T121" s="290"/>
      <c r="U121" s="290"/>
      <c r="V121" s="290"/>
      <c r="W121" s="290"/>
      <c r="X121" s="290"/>
      <c r="Y121" s="290"/>
      <c r="Z121" s="290"/>
      <c r="AA121" s="290"/>
      <c r="AB121" s="290"/>
      <c r="AC121" s="290"/>
      <c r="AD121" s="290"/>
      <c r="AE121" s="290"/>
      <c r="AF121" s="290"/>
      <c r="AG121" s="290"/>
      <c r="AH121" s="290"/>
      <c r="AI121" s="290"/>
    </row>
    <row r="122" spans="1:35">
      <c r="A122" s="290"/>
      <c r="B122" s="290"/>
      <c r="C122" s="290"/>
      <c r="D122" s="290"/>
      <c r="E122" s="290"/>
      <c r="F122" s="290"/>
      <c r="G122" s="290"/>
      <c r="H122" s="290"/>
      <c r="I122" s="290"/>
      <c r="J122" s="290"/>
      <c r="K122" s="290"/>
      <c r="L122" s="290"/>
      <c r="M122" s="290"/>
      <c r="N122" s="290"/>
      <c r="O122" s="290"/>
      <c r="P122" s="290"/>
      <c r="Q122" s="290"/>
      <c r="R122" s="290"/>
      <c r="S122" s="290"/>
      <c r="T122" s="290"/>
      <c r="U122" s="290"/>
      <c r="V122" s="290"/>
      <c r="W122" s="290"/>
      <c r="X122" s="290"/>
      <c r="Y122" s="290"/>
      <c r="Z122" s="290"/>
      <c r="AA122" s="290"/>
      <c r="AB122" s="290"/>
      <c r="AC122" s="290"/>
      <c r="AD122" s="290"/>
      <c r="AE122" s="290"/>
      <c r="AF122" s="290"/>
      <c r="AG122" s="290"/>
      <c r="AH122" s="290"/>
      <c r="AI122" s="290"/>
    </row>
    <row r="123" spans="1:35">
      <c r="A123" s="290"/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</row>
    <row r="124" spans="1:35">
      <c r="A124" s="290"/>
      <c r="B124" s="290"/>
      <c r="C124" s="290"/>
      <c r="D124" s="290"/>
      <c r="E124" s="290"/>
      <c r="F124" s="290"/>
      <c r="G124" s="290"/>
      <c r="H124" s="290"/>
      <c r="I124" s="290"/>
      <c r="J124" s="290"/>
      <c r="K124" s="290"/>
      <c r="L124" s="290"/>
      <c r="M124" s="290"/>
      <c r="N124" s="290"/>
      <c r="O124" s="290"/>
      <c r="P124" s="290"/>
      <c r="Q124" s="290"/>
      <c r="R124" s="290"/>
      <c r="S124" s="290"/>
      <c r="T124" s="290"/>
      <c r="U124" s="290"/>
      <c r="V124" s="290"/>
      <c r="W124" s="290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90"/>
      <c r="AH124" s="290"/>
      <c r="AI124" s="290"/>
    </row>
    <row r="125" spans="1:35">
      <c r="A125" s="290"/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  <c r="M125" s="290"/>
      <c r="N125" s="290"/>
      <c r="O125" s="290"/>
      <c r="P125" s="290"/>
      <c r="Q125" s="290"/>
      <c r="R125" s="290"/>
      <c r="S125" s="290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</row>
    <row r="126" spans="1:35">
      <c r="A126" s="290"/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N126" s="290"/>
      <c r="O126" s="290"/>
      <c r="P126" s="290"/>
      <c r="Q126" s="290"/>
      <c r="R126" s="290"/>
      <c r="S126" s="290"/>
      <c r="T126" s="290"/>
      <c r="U126" s="290"/>
      <c r="V126" s="290"/>
      <c r="W126" s="290"/>
      <c r="X126" s="290"/>
      <c r="Y126" s="290"/>
      <c r="Z126" s="290"/>
      <c r="AA126" s="290"/>
      <c r="AB126" s="290"/>
      <c r="AC126" s="290"/>
      <c r="AD126" s="290"/>
      <c r="AE126" s="290"/>
      <c r="AF126" s="290"/>
      <c r="AG126" s="290"/>
      <c r="AH126" s="290"/>
      <c r="AI126" s="290"/>
    </row>
    <row r="127" spans="1:35">
      <c r="A127" s="290"/>
      <c r="B127" s="290"/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  <c r="M127" s="290"/>
      <c r="N127" s="290"/>
      <c r="O127" s="290"/>
      <c r="P127" s="290"/>
      <c r="Q127" s="290"/>
      <c r="R127" s="290"/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</row>
    <row r="128" spans="1:35">
      <c r="A128" s="290"/>
      <c r="B128" s="290"/>
      <c r="C128" s="290"/>
      <c r="D128" s="290"/>
      <c r="E128" s="290"/>
      <c r="F128" s="290"/>
      <c r="G128" s="290"/>
      <c r="H128" s="290"/>
      <c r="I128" s="290"/>
      <c r="J128" s="290"/>
      <c r="K128" s="290"/>
      <c r="L128" s="290"/>
      <c r="M128" s="290"/>
      <c r="N128" s="290"/>
      <c r="O128" s="290"/>
      <c r="P128" s="290"/>
      <c r="Q128" s="290"/>
      <c r="R128" s="290"/>
      <c r="S128" s="290"/>
      <c r="T128" s="290"/>
      <c r="U128" s="290"/>
      <c r="V128" s="290"/>
      <c r="W128" s="290"/>
      <c r="X128" s="290"/>
      <c r="Y128" s="290"/>
      <c r="Z128" s="290"/>
      <c r="AA128" s="290"/>
      <c r="AB128" s="290"/>
      <c r="AC128" s="290"/>
      <c r="AD128" s="290"/>
      <c r="AE128" s="290"/>
      <c r="AF128" s="290"/>
      <c r="AG128" s="290"/>
      <c r="AH128" s="290"/>
      <c r="AI128" s="290"/>
    </row>
    <row r="129" spans="1:35">
      <c r="A129" s="290"/>
      <c r="B129" s="290"/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  <c r="M129" s="290"/>
      <c r="N129" s="290"/>
      <c r="O129" s="290"/>
      <c r="P129" s="290"/>
      <c r="Q129" s="290"/>
      <c r="R129" s="290"/>
      <c r="S129" s="290"/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90"/>
      <c r="AH129" s="290"/>
      <c r="AI129" s="290"/>
    </row>
    <row r="130" spans="1:35">
      <c r="A130" s="290"/>
      <c r="B130" s="290"/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</row>
    <row r="131" spans="1:35">
      <c r="A131" s="290"/>
      <c r="B131" s="290"/>
      <c r="C131" s="290"/>
      <c r="D131" s="290"/>
      <c r="E131" s="290"/>
      <c r="F131" s="290"/>
      <c r="G131" s="290"/>
      <c r="H131" s="290"/>
      <c r="I131" s="290"/>
      <c r="J131" s="290"/>
      <c r="K131" s="290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</row>
    <row r="132" spans="1:35">
      <c r="A132" s="290"/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0"/>
      <c r="O132" s="29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</row>
    <row r="133" spans="1:35">
      <c r="A133" s="290"/>
      <c r="B133" s="290"/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</row>
    <row r="134" spans="1:35">
      <c r="A134" s="290"/>
      <c r="B134" s="290"/>
      <c r="C134" s="290"/>
      <c r="D134" s="290"/>
      <c r="E134" s="290"/>
      <c r="F134" s="290"/>
      <c r="G134" s="290"/>
      <c r="H134" s="290"/>
      <c r="I134" s="290"/>
      <c r="J134" s="290"/>
      <c r="K134" s="290"/>
      <c r="L134" s="290"/>
      <c r="M134" s="290"/>
      <c r="N134" s="290"/>
      <c r="O134" s="290"/>
      <c r="P134" s="290"/>
      <c r="Q134" s="290"/>
      <c r="R134" s="290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</row>
    <row r="135" spans="1:35">
      <c r="A135" s="290"/>
      <c r="B135" s="290"/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  <c r="M135" s="290"/>
      <c r="N135" s="290"/>
      <c r="O135" s="290"/>
      <c r="P135" s="290"/>
      <c r="Q135" s="290"/>
      <c r="R135" s="290"/>
      <c r="S135" s="290"/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</row>
    <row r="136" spans="1:35">
      <c r="A136" s="290"/>
      <c r="B136" s="290"/>
      <c r="C136" s="290"/>
      <c r="D136" s="290"/>
      <c r="E136" s="290"/>
      <c r="F136" s="290"/>
      <c r="G136" s="290"/>
      <c r="H136" s="290"/>
      <c r="I136" s="290"/>
      <c r="J136" s="290"/>
      <c r="K136" s="290"/>
      <c r="L136" s="290"/>
      <c r="M136" s="290"/>
      <c r="N136" s="290"/>
      <c r="O136" s="290"/>
      <c r="P136" s="290"/>
      <c r="Q136" s="290"/>
      <c r="R136" s="290"/>
      <c r="S136" s="290"/>
      <c r="T136" s="290"/>
      <c r="U136" s="290"/>
      <c r="V136" s="290"/>
      <c r="W136" s="290"/>
      <c r="X136" s="290"/>
      <c r="Y136" s="290"/>
      <c r="Z136" s="290"/>
      <c r="AA136" s="290"/>
      <c r="AB136" s="290"/>
      <c r="AC136" s="290"/>
      <c r="AD136" s="290"/>
      <c r="AE136" s="290"/>
      <c r="AF136" s="290"/>
      <c r="AG136" s="290"/>
      <c r="AH136" s="290"/>
      <c r="AI136" s="290"/>
    </row>
    <row r="137" spans="1:35">
      <c r="A137" s="290"/>
      <c r="B137" s="290"/>
      <c r="C137" s="290"/>
      <c r="D137" s="290"/>
      <c r="E137" s="290"/>
      <c r="F137" s="290"/>
      <c r="G137" s="290"/>
      <c r="H137" s="290"/>
      <c r="I137" s="290"/>
      <c r="J137" s="290"/>
      <c r="K137" s="290"/>
      <c r="L137" s="290"/>
      <c r="M137" s="290"/>
      <c r="N137" s="290"/>
      <c r="O137" s="290"/>
      <c r="P137" s="290"/>
      <c r="Q137" s="290"/>
      <c r="R137" s="290"/>
      <c r="S137" s="290"/>
      <c r="T137" s="290"/>
      <c r="U137" s="290"/>
      <c r="V137" s="290"/>
      <c r="W137" s="290"/>
      <c r="X137" s="290"/>
      <c r="Y137" s="290"/>
      <c r="Z137" s="290"/>
      <c r="AA137" s="290"/>
      <c r="AB137" s="290"/>
      <c r="AC137" s="290"/>
      <c r="AD137" s="290"/>
      <c r="AE137" s="290"/>
      <c r="AF137" s="290"/>
      <c r="AG137" s="290"/>
      <c r="AH137" s="290"/>
      <c r="AI137" s="290"/>
    </row>
    <row r="138" spans="1:35">
      <c r="A138" s="290"/>
      <c r="B138" s="290"/>
      <c r="C138" s="290"/>
      <c r="D138" s="290"/>
      <c r="E138" s="290"/>
      <c r="F138" s="290"/>
      <c r="G138" s="290"/>
      <c r="H138" s="290"/>
      <c r="I138" s="290"/>
      <c r="J138" s="290"/>
      <c r="K138" s="290"/>
      <c r="L138" s="290"/>
      <c r="M138" s="290"/>
      <c r="N138" s="290"/>
      <c r="O138" s="290"/>
      <c r="P138" s="290"/>
      <c r="Q138" s="290"/>
      <c r="R138" s="290"/>
      <c r="S138" s="290"/>
      <c r="T138" s="290"/>
      <c r="U138" s="290"/>
      <c r="V138" s="290"/>
      <c r="W138" s="290"/>
      <c r="X138" s="290"/>
      <c r="Y138" s="290"/>
      <c r="Z138" s="290"/>
      <c r="AA138" s="290"/>
      <c r="AB138" s="290"/>
      <c r="AC138" s="290"/>
      <c r="AD138" s="290"/>
      <c r="AE138" s="290"/>
      <c r="AF138" s="290"/>
      <c r="AG138" s="290"/>
      <c r="AH138" s="290"/>
      <c r="AI138" s="290"/>
    </row>
    <row r="139" spans="1:35">
      <c r="A139" s="290"/>
      <c r="B139" s="290"/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0"/>
      <c r="AI139" s="290"/>
    </row>
    <row r="140" spans="1:35">
      <c r="A140" s="290"/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0"/>
      <c r="AI140" s="290"/>
    </row>
    <row r="141" spans="1:35">
      <c r="A141" s="290"/>
      <c r="B141" s="290"/>
      <c r="C141" s="290"/>
      <c r="D141" s="290"/>
      <c r="E141" s="290"/>
      <c r="F141" s="290"/>
      <c r="G141" s="290"/>
      <c r="H141" s="290"/>
      <c r="I141" s="290"/>
      <c r="J141" s="290"/>
      <c r="K141" s="290"/>
      <c r="L141" s="290"/>
      <c r="M141" s="290"/>
      <c r="N141" s="290"/>
      <c r="O141" s="290"/>
      <c r="P141" s="290"/>
      <c r="Q141" s="290"/>
      <c r="R141" s="290"/>
      <c r="S141" s="290"/>
      <c r="T141" s="290"/>
      <c r="U141" s="290"/>
      <c r="V141" s="290"/>
      <c r="W141" s="290"/>
      <c r="X141" s="290"/>
      <c r="Y141" s="290"/>
      <c r="Z141" s="290"/>
      <c r="AA141" s="290"/>
      <c r="AB141" s="290"/>
      <c r="AC141" s="290"/>
      <c r="AD141" s="290"/>
      <c r="AE141" s="290"/>
      <c r="AF141" s="290"/>
      <c r="AG141" s="290"/>
      <c r="AH141" s="290"/>
      <c r="AI141" s="290"/>
    </row>
    <row r="142" spans="1:35">
      <c r="A142" s="290"/>
      <c r="B142" s="290"/>
      <c r="C142" s="290"/>
      <c r="D142" s="290"/>
      <c r="E142" s="290"/>
      <c r="F142" s="290"/>
      <c r="G142" s="290"/>
      <c r="H142" s="290"/>
      <c r="I142" s="290"/>
      <c r="J142" s="290"/>
      <c r="K142" s="290"/>
      <c r="L142" s="290"/>
      <c r="M142" s="290"/>
      <c r="N142" s="290"/>
      <c r="O142" s="290"/>
      <c r="P142" s="290"/>
      <c r="Q142" s="290"/>
      <c r="R142" s="290"/>
      <c r="S142" s="290"/>
      <c r="T142" s="290"/>
      <c r="U142" s="290"/>
      <c r="V142" s="290"/>
      <c r="W142" s="290"/>
      <c r="X142" s="290"/>
      <c r="Y142" s="290"/>
      <c r="Z142" s="290"/>
      <c r="AA142" s="290"/>
      <c r="AB142" s="290"/>
      <c r="AC142" s="290"/>
      <c r="AD142" s="290"/>
      <c r="AE142" s="290"/>
      <c r="AF142" s="290"/>
      <c r="AG142" s="290"/>
      <c r="AH142" s="290"/>
      <c r="AI142" s="290"/>
    </row>
    <row r="143" spans="1:35">
      <c r="A143" s="290"/>
      <c r="B143" s="290"/>
      <c r="C143" s="290"/>
      <c r="D143" s="290"/>
      <c r="E143" s="290"/>
      <c r="F143" s="290"/>
      <c r="G143" s="290"/>
      <c r="H143" s="290"/>
      <c r="I143" s="290"/>
      <c r="J143" s="290"/>
      <c r="K143" s="290"/>
      <c r="L143" s="290"/>
      <c r="M143" s="290"/>
      <c r="N143" s="290"/>
      <c r="O143" s="290"/>
      <c r="P143" s="290"/>
      <c r="Q143" s="290"/>
      <c r="R143" s="290"/>
      <c r="S143" s="290"/>
      <c r="T143" s="290"/>
      <c r="U143" s="290"/>
      <c r="V143" s="290"/>
      <c r="W143" s="290"/>
      <c r="X143" s="290"/>
      <c r="Y143" s="290"/>
      <c r="Z143" s="290"/>
      <c r="AA143" s="290"/>
      <c r="AB143" s="290"/>
      <c r="AC143" s="290"/>
      <c r="AD143" s="290"/>
      <c r="AE143" s="290"/>
      <c r="AF143" s="290"/>
      <c r="AG143" s="290"/>
      <c r="AH143" s="290"/>
      <c r="AI143" s="290"/>
    </row>
    <row r="144" spans="1:35">
      <c r="A144" s="290"/>
      <c r="B144" s="290"/>
      <c r="C144" s="290"/>
      <c r="D144" s="290"/>
      <c r="E144" s="290"/>
      <c r="F144" s="290"/>
      <c r="G144" s="290"/>
      <c r="H144" s="290"/>
      <c r="I144" s="290"/>
      <c r="J144" s="290"/>
      <c r="K144" s="290"/>
      <c r="L144" s="290"/>
      <c r="M144" s="290"/>
      <c r="N144" s="290"/>
      <c r="O144" s="290"/>
      <c r="P144" s="290"/>
      <c r="Q144" s="290"/>
      <c r="R144" s="290"/>
      <c r="S144" s="290"/>
      <c r="T144" s="290"/>
      <c r="U144" s="290"/>
      <c r="V144" s="290"/>
      <c r="W144" s="290"/>
      <c r="X144" s="290"/>
      <c r="Y144" s="290"/>
      <c r="Z144" s="290"/>
      <c r="AA144" s="290"/>
      <c r="AB144" s="290"/>
      <c r="AC144" s="290"/>
      <c r="AD144" s="290"/>
      <c r="AE144" s="290"/>
      <c r="AF144" s="290"/>
      <c r="AG144" s="290"/>
      <c r="AH144" s="290"/>
      <c r="AI144" s="290"/>
    </row>
    <row r="145" spans="1:35">
      <c r="A145" s="290"/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  <c r="M145" s="290"/>
      <c r="N145" s="290"/>
      <c r="O145" s="290"/>
      <c r="P145" s="290"/>
      <c r="Q145" s="290"/>
      <c r="R145" s="290"/>
      <c r="S145" s="290"/>
      <c r="T145" s="290"/>
      <c r="U145" s="290"/>
      <c r="V145" s="290"/>
      <c r="W145" s="290"/>
      <c r="X145" s="290"/>
      <c r="Y145" s="290"/>
      <c r="Z145" s="290"/>
      <c r="AA145" s="290"/>
      <c r="AB145" s="290"/>
      <c r="AC145" s="290"/>
      <c r="AD145" s="290"/>
      <c r="AE145" s="290"/>
      <c r="AF145" s="290"/>
      <c r="AG145" s="290"/>
      <c r="AH145" s="290"/>
      <c r="AI145" s="290"/>
    </row>
    <row r="146" spans="1:35">
      <c r="A146" s="290"/>
      <c r="B146" s="290"/>
      <c r="C146" s="290"/>
      <c r="D146" s="290"/>
      <c r="E146" s="290"/>
      <c r="F146" s="290"/>
      <c r="G146" s="290"/>
      <c r="H146" s="290"/>
      <c r="I146" s="290"/>
      <c r="J146" s="290"/>
      <c r="K146" s="290"/>
      <c r="L146" s="290"/>
      <c r="M146" s="290"/>
      <c r="N146" s="290"/>
      <c r="O146" s="290"/>
      <c r="P146" s="290"/>
      <c r="Q146" s="290"/>
      <c r="R146" s="290"/>
      <c r="S146" s="290"/>
      <c r="T146" s="290"/>
      <c r="U146" s="290"/>
      <c r="V146" s="290"/>
      <c r="W146" s="290"/>
      <c r="X146" s="290"/>
      <c r="Y146" s="290"/>
      <c r="Z146" s="290"/>
      <c r="AA146" s="290"/>
      <c r="AB146" s="290"/>
      <c r="AC146" s="290"/>
      <c r="AD146" s="290"/>
      <c r="AE146" s="290"/>
      <c r="AF146" s="290"/>
      <c r="AG146" s="290"/>
      <c r="AH146" s="290"/>
      <c r="AI146" s="290"/>
    </row>
    <row r="147" spans="1:35">
      <c r="A147" s="290"/>
      <c r="B147" s="290"/>
      <c r="C147" s="290"/>
      <c r="D147" s="290"/>
      <c r="E147" s="290"/>
      <c r="F147" s="290"/>
      <c r="G147" s="290"/>
      <c r="H147" s="290"/>
      <c r="I147" s="290"/>
      <c r="J147" s="290"/>
      <c r="K147" s="290"/>
      <c r="L147" s="290"/>
      <c r="M147" s="290"/>
      <c r="N147" s="290"/>
      <c r="O147" s="290"/>
      <c r="P147" s="290"/>
      <c r="Q147" s="290"/>
      <c r="R147" s="290"/>
      <c r="S147" s="290"/>
      <c r="T147" s="290"/>
      <c r="U147" s="290"/>
      <c r="V147" s="290"/>
      <c r="W147" s="290"/>
      <c r="X147" s="290"/>
      <c r="Y147" s="290"/>
      <c r="Z147" s="290"/>
      <c r="AA147" s="290"/>
      <c r="AB147" s="290"/>
      <c r="AC147" s="290"/>
      <c r="AD147" s="290"/>
      <c r="AE147" s="290"/>
      <c r="AF147" s="290"/>
      <c r="AG147" s="290"/>
      <c r="AH147" s="290"/>
      <c r="AI147" s="290"/>
    </row>
    <row r="148" spans="1:35">
      <c r="A148" s="290"/>
      <c r="B148" s="290"/>
      <c r="C148" s="290"/>
      <c r="D148" s="290"/>
      <c r="E148" s="290"/>
      <c r="F148" s="290"/>
      <c r="G148" s="290"/>
      <c r="H148" s="290"/>
      <c r="I148" s="290"/>
      <c r="J148" s="290"/>
      <c r="K148" s="290"/>
      <c r="L148" s="290"/>
      <c r="M148" s="290"/>
      <c r="N148" s="290"/>
      <c r="O148" s="290"/>
      <c r="P148" s="290"/>
      <c r="Q148" s="290"/>
      <c r="R148" s="290"/>
      <c r="S148" s="290"/>
      <c r="T148" s="290"/>
      <c r="U148" s="290"/>
      <c r="V148" s="290"/>
      <c r="W148" s="290"/>
      <c r="X148" s="290"/>
      <c r="Y148" s="290"/>
      <c r="Z148" s="290"/>
      <c r="AA148" s="290"/>
      <c r="AB148" s="290"/>
      <c r="AC148" s="290"/>
      <c r="AD148" s="290"/>
      <c r="AE148" s="290"/>
      <c r="AF148" s="290"/>
      <c r="AG148" s="290"/>
      <c r="AH148" s="290"/>
      <c r="AI148" s="290"/>
    </row>
    <row r="149" spans="1:35">
      <c r="A149" s="290"/>
      <c r="B149" s="290"/>
      <c r="C149" s="290"/>
      <c r="D149" s="290"/>
      <c r="E149" s="290"/>
      <c r="F149" s="290"/>
      <c r="G149" s="290"/>
      <c r="H149" s="290"/>
      <c r="I149" s="290"/>
      <c r="J149" s="290"/>
      <c r="K149" s="290"/>
      <c r="L149" s="290"/>
      <c r="M149" s="290"/>
      <c r="N149" s="290"/>
      <c r="O149" s="290"/>
      <c r="P149" s="290"/>
      <c r="Q149" s="290"/>
      <c r="R149" s="290"/>
      <c r="S149" s="290"/>
      <c r="T149" s="290"/>
      <c r="U149" s="290"/>
      <c r="V149" s="290"/>
      <c r="W149" s="290"/>
      <c r="X149" s="290"/>
      <c r="Y149" s="290"/>
      <c r="Z149" s="290"/>
      <c r="AA149" s="290"/>
      <c r="AB149" s="290"/>
      <c r="AC149" s="290"/>
      <c r="AD149" s="290"/>
      <c r="AE149" s="290"/>
      <c r="AF149" s="290"/>
      <c r="AG149" s="290"/>
      <c r="AH149" s="290"/>
      <c r="AI149" s="290"/>
    </row>
    <row r="150" spans="1:35">
      <c r="A150" s="290"/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  <c r="M150" s="290"/>
      <c r="N150" s="290"/>
      <c r="O150" s="290"/>
      <c r="P150" s="290"/>
      <c r="Q150" s="290"/>
      <c r="R150" s="290"/>
      <c r="S150" s="290"/>
      <c r="T150" s="290"/>
      <c r="U150" s="290"/>
      <c r="V150" s="290"/>
      <c r="W150" s="290"/>
      <c r="X150" s="290"/>
      <c r="Y150" s="290"/>
      <c r="Z150" s="290"/>
      <c r="AA150" s="290"/>
      <c r="AB150" s="290"/>
      <c r="AC150" s="290"/>
      <c r="AD150" s="290"/>
      <c r="AE150" s="290"/>
      <c r="AF150" s="290"/>
      <c r="AG150" s="290"/>
      <c r="AH150" s="290"/>
      <c r="AI150" s="290"/>
    </row>
    <row r="151" spans="1:35">
      <c r="A151" s="290"/>
      <c r="B151" s="290"/>
      <c r="C151" s="290"/>
      <c r="D151" s="290"/>
      <c r="E151" s="290"/>
      <c r="F151" s="290"/>
      <c r="G151" s="290"/>
      <c r="H151" s="290"/>
      <c r="I151" s="290"/>
      <c r="J151" s="290"/>
      <c r="K151" s="290"/>
      <c r="L151" s="290"/>
      <c r="M151" s="290"/>
      <c r="N151" s="290"/>
      <c r="O151" s="290"/>
      <c r="P151" s="290"/>
      <c r="Q151" s="290"/>
      <c r="R151" s="290"/>
      <c r="S151" s="290"/>
      <c r="T151" s="290"/>
      <c r="U151" s="290"/>
      <c r="V151" s="290"/>
      <c r="W151" s="290"/>
      <c r="X151" s="290"/>
      <c r="Y151" s="290"/>
      <c r="Z151" s="290"/>
      <c r="AA151" s="290"/>
      <c r="AB151" s="290"/>
      <c r="AC151" s="290"/>
      <c r="AD151" s="290"/>
      <c r="AE151" s="290"/>
      <c r="AF151" s="290"/>
      <c r="AG151" s="290"/>
      <c r="AH151" s="290"/>
      <c r="AI151" s="290"/>
    </row>
    <row r="152" spans="1:35">
      <c r="A152" s="290"/>
      <c r="B152" s="290"/>
      <c r="C152" s="290"/>
      <c r="D152" s="290"/>
      <c r="E152" s="290"/>
      <c r="F152" s="290"/>
      <c r="G152" s="290"/>
      <c r="H152" s="290"/>
      <c r="I152" s="290"/>
      <c r="J152" s="290"/>
      <c r="K152" s="290"/>
      <c r="L152" s="290"/>
      <c r="M152" s="290"/>
      <c r="N152" s="290"/>
      <c r="O152" s="290"/>
      <c r="P152" s="290"/>
      <c r="Q152" s="290"/>
      <c r="R152" s="290"/>
      <c r="S152" s="290"/>
      <c r="T152" s="290"/>
      <c r="U152" s="290"/>
      <c r="V152" s="290"/>
      <c r="W152" s="290"/>
      <c r="X152" s="290"/>
      <c r="Y152" s="290"/>
      <c r="Z152" s="290"/>
      <c r="AA152" s="290"/>
      <c r="AB152" s="290"/>
      <c r="AC152" s="290"/>
      <c r="AD152" s="290"/>
      <c r="AE152" s="290"/>
      <c r="AF152" s="290"/>
      <c r="AG152" s="290"/>
      <c r="AH152" s="290"/>
      <c r="AI152" s="290"/>
    </row>
    <row r="153" spans="1:35">
      <c r="A153" s="290"/>
      <c r="B153" s="290"/>
      <c r="C153" s="290"/>
      <c r="D153" s="290"/>
      <c r="E153" s="290"/>
      <c r="F153" s="290"/>
      <c r="G153" s="290"/>
      <c r="H153" s="290"/>
      <c r="I153" s="290"/>
      <c r="J153" s="290"/>
      <c r="K153" s="290"/>
      <c r="L153" s="290"/>
      <c r="M153" s="290"/>
      <c r="N153" s="290"/>
      <c r="O153" s="290"/>
      <c r="P153" s="290"/>
      <c r="Q153" s="290"/>
      <c r="R153" s="290"/>
      <c r="S153" s="290"/>
      <c r="T153" s="290"/>
      <c r="U153" s="290"/>
      <c r="V153" s="290"/>
      <c r="W153" s="290"/>
      <c r="X153" s="290"/>
      <c r="Y153" s="290"/>
      <c r="Z153" s="290"/>
      <c r="AA153" s="290"/>
      <c r="AB153" s="290"/>
      <c r="AC153" s="290"/>
      <c r="AD153" s="290"/>
      <c r="AE153" s="290"/>
      <c r="AF153" s="290"/>
      <c r="AG153" s="290"/>
      <c r="AH153" s="290"/>
      <c r="AI153" s="290"/>
    </row>
    <row r="154" spans="1:35">
      <c r="A154" s="290"/>
      <c r="B154" s="290"/>
      <c r="C154" s="290"/>
      <c r="D154" s="290"/>
      <c r="E154" s="290"/>
      <c r="F154" s="290"/>
      <c r="G154" s="290"/>
      <c r="H154" s="290"/>
      <c r="I154" s="290"/>
      <c r="J154" s="290"/>
      <c r="K154" s="290"/>
      <c r="L154" s="290"/>
      <c r="M154" s="290"/>
      <c r="N154" s="290"/>
      <c r="O154" s="290"/>
      <c r="P154" s="290"/>
      <c r="Q154" s="290"/>
      <c r="R154" s="290"/>
      <c r="S154" s="290"/>
      <c r="T154" s="290"/>
      <c r="U154" s="290"/>
      <c r="V154" s="290"/>
      <c r="W154" s="290"/>
      <c r="X154" s="290"/>
      <c r="Y154" s="290"/>
      <c r="Z154" s="290"/>
      <c r="AA154" s="290"/>
      <c r="AB154" s="290"/>
      <c r="AC154" s="290"/>
      <c r="AD154" s="290"/>
      <c r="AE154" s="290"/>
      <c r="AF154" s="290"/>
      <c r="AG154" s="290"/>
      <c r="AH154" s="290"/>
      <c r="AI154" s="290"/>
    </row>
    <row r="155" spans="1:35">
      <c r="A155" s="290"/>
      <c r="B155" s="290"/>
      <c r="C155" s="290"/>
      <c r="D155" s="290"/>
      <c r="E155" s="290"/>
      <c r="F155" s="290"/>
      <c r="G155" s="290"/>
      <c r="H155" s="290"/>
      <c r="I155" s="290"/>
      <c r="J155" s="290"/>
      <c r="K155" s="290"/>
      <c r="L155" s="290"/>
      <c r="M155" s="290"/>
      <c r="N155" s="290"/>
      <c r="O155" s="290"/>
      <c r="P155" s="290"/>
      <c r="Q155" s="290"/>
      <c r="R155" s="290"/>
      <c r="S155" s="290"/>
      <c r="T155" s="290"/>
      <c r="U155" s="290"/>
      <c r="V155" s="290"/>
      <c r="W155" s="290"/>
      <c r="X155" s="290"/>
      <c r="Y155" s="290"/>
      <c r="Z155" s="290"/>
      <c r="AA155" s="290"/>
      <c r="AB155" s="290"/>
      <c r="AC155" s="290"/>
      <c r="AD155" s="290"/>
      <c r="AE155" s="290"/>
      <c r="AF155" s="290"/>
      <c r="AG155" s="290"/>
      <c r="AH155" s="290"/>
      <c r="AI155" s="290"/>
    </row>
    <row r="156" spans="1:35">
      <c r="A156" s="290"/>
      <c r="B156" s="290"/>
      <c r="C156" s="290"/>
      <c r="D156" s="290"/>
      <c r="E156" s="290"/>
      <c r="F156" s="290"/>
      <c r="G156" s="290"/>
      <c r="H156" s="290"/>
      <c r="I156" s="290"/>
      <c r="J156" s="290"/>
      <c r="K156" s="290"/>
      <c r="L156" s="290"/>
      <c r="M156" s="290"/>
      <c r="N156" s="290"/>
      <c r="O156" s="290"/>
      <c r="P156" s="290"/>
      <c r="Q156" s="290"/>
      <c r="R156" s="290"/>
      <c r="S156" s="290"/>
      <c r="T156" s="290"/>
      <c r="U156" s="290"/>
      <c r="V156" s="290"/>
      <c r="W156" s="290"/>
      <c r="X156" s="290"/>
      <c r="Y156" s="290"/>
      <c r="Z156" s="290"/>
      <c r="AA156" s="290"/>
      <c r="AB156" s="290"/>
      <c r="AC156" s="290"/>
      <c r="AD156" s="290"/>
      <c r="AE156" s="290"/>
      <c r="AF156" s="290"/>
      <c r="AG156" s="290"/>
      <c r="AH156" s="290"/>
      <c r="AI156" s="290"/>
    </row>
    <row r="157" spans="1:35">
      <c r="A157" s="290"/>
      <c r="B157" s="290"/>
      <c r="C157" s="290"/>
      <c r="D157" s="290"/>
      <c r="E157" s="290"/>
      <c r="F157" s="290"/>
      <c r="G157" s="290"/>
      <c r="H157" s="290"/>
      <c r="I157" s="290"/>
      <c r="J157" s="290"/>
      <c r="K157" s="290"/>
      <c r="L157" s="290"/>
      <c r="M157" s="290"/>
      <c r="N157" s="290"/>
      <c r="O157" s="290"/>
      <c r="P157" s="290"/>
      <c r="Q157" s="290"/>
      <c r="R157" s="290"/>
      <c r="S157" s="290"/>
      <c r="T157" s="290"/>
      <c r="U157" s="290"/>
      <c r="V157" s="290"/>
      <c r="W157" s="290"/>
      <c r="X157" s="290"/>
      <c r="Y157" s="290"/>
      <c r="Z157" s="290"/>
      <c r="AA157" s="290"/>
      <c r="AB157" s="290"/>
      <c r="AC157" s="290"/>
      <c r="AD157" s="290"/>
      <c r="AE157" s="290"/>
      <c r="AF157" s="290"/>
      <c r="AG157" s="290"/>
      <c r="AH157" s="290"/>
      <c r="AI157" s="290"/>
    </row>
    <row r="158" spans="1:35">
      <c r="A158" s="290"/>
      <c r="B158" s="290"/>
      <c r="C158" s="290"/>
      <c r="D158" s="290"/>
      <c r="E158" s="290"/>
      <c r="F158" s="290"/>
      <c r="G158" s="290"/>
      <c r="H158" s="290"/>
      <c r="I158" s="290"/>
      <c r="J158" s="290"/>
      <c r="K158" s="290"/>
      <c r="L158" s="290"/>
      <c r="M158" s="290"/>
      <c r="N158" s="290"/>
      <c r="O158" s="290"/>
      <c r="P158" s="290"/>
      <c r="Q158" s="290"/>
      <c r="R158" s="290"/>
      <c r="S158" s="290"/>
      <c r="T158" s="290"/>
      <c r="U158" s="290"/>
      <c r="V158" s="290"/>
      <c r="W158" s="290"/>
      <c r="X158" s="290"/>
      <c r="Y158" s="290"/>
      <c r="Z158" s="290"/>
      <c r="AA158" s="290"/>
      <c r="AB158" s="290"/>
      <c r="AC158" s="290"/>
      <c r="AD158" s="290"/>
      <c r="AE158" s="290"/>
      <c r="AF158" s="290"/>
      <c r="AG158" s="290"/>
      <c r="AH158" s="290"/>
      <c r="AI158" s="290"/>
    </row>
    <row r="159" spans="1:35">
      <c r="A159" s="290"/>
      <c r="B159" s="290"/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  <c r="M159" s="290"/>
      <c r="N159" s="290"/>
      <c r="O159" s="290"/>
      <c r="P159" s="290"/>
      <c r="Q159" s="290"/>
      <c r="R159" s="290"/>
      <c r="S159" s="290"/>
      <c r="T159" s="290"/>
      <c r="U159" s="290"/>
      <c r="V159" s="290"/>
      <c r="W159" s="290"/>
      <c r="X159" s="290"/>
      <c r="Y159" s="290"/>
      <c r="Z159" s="290"/>
      <c r="AA159" s="290"/>
      <c r="AB159" s="290"/>
      <c r="AC159" s="290"/>
      <c r="AD159" s="290"/>
      <c r="AE159" s="290"/>
      <c r="AF159" s="290"/>
      <c r="AG159" s="290"/>
      <c r="AH159" s="290"/>
      <c r="AI159" s="290"/>
    </row>
    <row r="160" spans="1:35">
      <c r="A160" s="290"/>
      <c r="B160" s="290"/>
      <c r="C160" s="290"/>
      <c r="D160" s="290"/>
      <c r="E160" s="290"/>
      <c r="F160" s="290"/>
      <c r="G160" s="290"/>
      <c r="H160" s="290"/>
      <c r="I160" s="290"/>
      <c r="J160" s="290"/>
      <c r="K160" s="290"/>
      <c r="L160" s="290"/>
      <c r="M160" s="290"/>
      <c r="N160" s="290"/>
      <c r="O160" s="290"/>
      <c r="P160" s="290"/>
      <c r="Q160" s="290"/>
      <c r="R160" s="290"/>
      <c r="S160" s="290"/>
      <c r="T160" s="290"/>
      <c r="U160" s="290"/>
      <c r="V160" s="290"/>
      <c r="W160" s="290"/>
      <c r="X160" s="290"/>
      <c r="Y160" s="290"/>
      <c r="Z160" s="290"/>
      <c r="AA160" s="290"/>
      <c r="AB160" s="290"/>
      <c r="AC160" s="290"/>
      <c r="AD160" s="290"/>
      <c r="AE160" s="290"/>
      <c r="AF160" s="290"/>
      <c r="AG160" s="290"/>
      <c r="AH160" s="290"/>
      <c r="AI160" s="290"/>
    </row>
    <row r="161" spans="1:35">
      <c r="A161" s="290"/>
      <c r="B161" s="290"/>
      <c r="C161" s="290"/>
      <c r="D161" s="290"/>
      <c r="E161" s="290"/>
      <c r="F161" s="290"/>
      <c r="G161" s="290"/>
      <c r="H161" s="290"/>
      <c r="I161" s="290"/>
      <c r="J161" s="290"/>
      <c r="K161" s="290"/>
      <c r="L161" s="290"/>
      <c r="M161" s="290"/>
      <c r="N161" s="290"/>
      <c r="O161" s="290"/>
      <c r="P161" s="290"/>
      <c r="Q161" s="290"/>
      <c r="R161" s="290"/>
      <c r="S161" s="290"/>
      <c r="T161" s="290"/>
      <c r="U161" s="290"/>
      <c r="V161" s="290"/>
      <c r="W161" s="290"/>
      <c r="X161" s="290"/>
      <c r="Y161" s="290"/>
      <c r="Z161" s="290"/>
      <c r="AA161" s="290"/>
      <c r="AB161" s="290"/>
      <c r="AC161" s="290"/>
      <c r="AD161" s="290"/>
      <c r="AE161" s="290"/>
      <c r="AF161" s="290"/>
      <c r="AG161" s="290"/>
      <c r="AH161" s="290"/>
      <c r="AI161" s="290"/>
    </row>
    <row r="162" spans="1:35">
      <c r="A162" s="290"/>
      <c r="B162" s="290"/>
      <c r="C162" s="290"/>
      <c r="D162" s="290"/>
      <c r="E162" s="290"/>
      <c r="F162" s="290"/>
      <c r="G162" s="290"/>
      <c r="H162" s="290"/>
      <c r="I162" s="290"/>
      <c r="J162" s="290"/>
      <c r="K162" s="290"/>
      <c r="L162" s="290"/>
      <c r="M162" s="290"/>
      <c r="N162" s="290"/>
      <c r="O162" s="290"/>
      <c r="P162" s="290"/>
      <c r="Q162" s="290"/>
      <c r="R162" s="290"/>
      <c r="S162" s="290"/>
      <c r="T162" s="290"/>
      <c r="U162" s="290"/>
      <c r="V162" s="290"/>
      <c r="W162" s="290"/>
      <c r="X162" s="290"/>
      <c r="Y162" s="290"/>
      <c r="Z162" s="290"/>
      <c r="AA162" s="290"/>
      <c r="AB162" s="290"/>
      <c r="AC162" s="290"/>
      <c r="AD162" s="290"/>
      <c r="AE162" s="290"/>
      <c r="AF162" s="290"/>
      <c r="AG162" s="290"/>
      <c r="AH162" s="290"/>
      <c r="AI162" s="290"/>
    </row>
    <row r="163" spans="1:35">
      <c r="A163" s="290"/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  <c r="L163" s="290"/>
      <c r="M163" s="290"/>
      <c r="N163" s="290"/>
      <c r="O163" s="290"/>
      <c r="P163" s="290"/>
      <c r="Q163" s="290"/>
      <c r="R163" s="290"/>
      <c r="S163" s="290"/>
      <c r="T163" s="290"/>
      <c r="U163" s="290"/>
      <c r="V163" s="290"/>
      <c r="W163" s="290"/>
      <c r="X163" s="290"/>
      <c r="Y163" s="290"/>
      <c r="Z163" s="290"/>
      <c r="AA163" s="290"/>
      <c r="AB163" s="290"/>
      <c r="AC163" s="290"/>
      <c r="AD163" s="290"/>
      <c r="AE163" s="290"/>
      <c r="AF163" s="290"/>
      <c r="AG163" s="290"/>
      <c r="AH163" s="290"/>
      <c r="AI163" s="290"/>
    </row>
    <row r="164" spans="1:35">
      <c r="A164" s="290"/>
      <c r="B164" s="290"/>
      <c r="C164" s="290"/>
      <c r="D164" s="290"/>
      <c r="E164" s="290"/>
      <c r="F164" s="290"/>
      <c r="G164" s="290"/>
      <c r="H164" s="290"/>
      <c r="I164" s="290"/>
      <c r="J164" s="290"/>
      <c r="K164" s="290"/>
      <c r="L164" s="290"/>
      <c r="M164" s="290"/>
      <c r="N164" s="290"/>
      <c r="O164" s="290"/>
      <c r="P164" s="290"/>
      <c r="Q164" s="290"/>
      <c r="R164" s="290"/>
      <c r="S164" s="290"/>
      <c r="T164" s="290"/>
      <c r="U164" s="290"/>
      <c r="V164" s="290"/>
      <c r="W164" s="290"/>
      <c r="X164" s="290"/>
      <c r="Y164" s="290"/>
      <c r="Z164" s="290"/>
      <c r="AA164" s="290"/>
      <c r="AB164" s="290"/>
      <c r="AC164" s="290"/>
      <c r="AD164" s="290"/>
      <c r="AE164" s="290"/>
      <c r="AF164" s="290"/>
      <c r="AG164" s="290"/>
      <c r="AH164" s="290"/>
      <c r="AI164" s="290"/>
    </row>
    <row r="165" spans="1:35">
      <c r="A165" s="290"/>
      <c r="B165" s="290"/>
      <c r="C165" s="290"/>
      <c r="D165" s="290"/>
      <c r="E165" s="290"/>
      <c r="F165" s="290"/>
      <c r="G165" s="290"/>
      <c r="H165" s="290"/>
      <c r="I165" s="290"/>
      <c r="J165" s="290"/>
      <c r="K165" s="290"/>
      <c r="L165" s="290"/>
      <c r="M165" s="290"/>
      <c r="N165" s="290"/>
      <c r="O165" s="290"/>
      <c r="P165" s="290"/>
      <c r="Q165" s="290"/>
      <c r="R165" s="290"/>
      <c r="S165" s="290"/>
      <c r="T165" s="290"/>
      <c r="U165" s="290"/>
      <c r="V165" s="290"/>
      <c r="W165" s="290"/>
      <c r="X165" s="290"/>
      <c r="Y165" s="290"/>
      <c r="Z165" s="290"/>
      <c r="AA165" s="290"/>
      <c r="AB165" s="290"/>
      <c r="AC165" s="290"/>
      <c r="AD165" s="290"/>
      <c r="AE165" s="290"/>
      <c r="AF165" s="290"/>
      <c r="AG165" s="290"/>
      <c r="AH165" s="290"/>
      <c r="AI165" s="290"/>
    </row>
    <row r="166" spans="1:35">
      <c r="A166" s="290"/>
      <c r="B166" s="290"/>
      <c r="C166" s="290"/>
      <c r="D166" s="290"/>
      <c r="E166" s="290"/>
      <c r="F166" s="290"/>
      <c r="G166" s="290"/>
      <c r="H166" s="290"/>
      <c r="I166" s="290"/>
      <c r="J166" s="290"/>
      <c r="K166" s="290"/>
      <c r="L166" s="290"/>
      <c r="M166" s="290"/>
      <c r="N166" s="290"/>
      <c r="O166" s="290"/>
      <c r="P166" s="290"/>
      <c r="Q166" s="290"/>
      <c r="R166" s="290"/>
      <c r="S166" s="290"/>
      <c r="T166" s="290"/>
      <c r="U166" s="290"/>
      <c r="V166" s="290"/>
      <c r="W166" s="290"/>
      <c r="X166" s="290"/>
      <c r="Y166" s="290"/>
      <c r="Z166" s="290"/>
      <c r="AA166" s="290"/>
      <c r="AB166" s="290"/>
      <c r="AC166" s="290"/>
      <c r="AD166" s="290"/>
      <c r="AE166" s="290"/>
      <c r="AF166" s="290"/>
      <c r="AG166" s="290"/>
      <c r="AH166" s="290"/>
      <c r="AI166" s="290"/>
    </row>
    <row r="167" spans="1:35">
      <c r="A167" s="290"/>
      <c r="B167" s="290"/>
      <c r="C167" s="290"/>
      <c r="D167" s="290"/>
      <c r="E167" s="290"/>
      <c r="F167" s="290"/>
      <c r="G167" s="290"/>
      <c r="H167" s="290"/>
      <c r="I167" s="290"/>
      <c r="J167" s="290"/>
      <c r="K167" s="290"/>
      <c r="L167" s="290"/>
      <c r="M167" s="290"/>
      <c r="N167" s="290"/>
      <c r="O167" s="290"/>
      <c r="P167" s="290"/>
      <c r="Q167" s="290"/>
      <c r="R167" s="290"/>
      <c r="S167" s="290"/>
      <c r="T167" s="290"/>
      <c r="U167" s="290"/>
      <c r="V167" s="290"/>
      <c r="W167" s="290"/>
      <c r="X167" s="290"/>
      <c r="Y167" s="290"/>
      <c r="Z167" s="290"/>
      <c r="AA167" s="290"/>
      <c r="AB167" s="290"/>
      <c r="AC167" s="290"/>
      <c r="AD167" s="290"/>
      <c r="AE167" s="290"/>
      <c r="AF167" s="290"/>
      <c r="AG167" s="290"/>
      <c r="AH167" s="290"/>
      <c r="AI167" s="290"/>
    </row>
  </sheetData>
  <sheetProtection algorithmName="SHA-512" hashValue="FKsSbTScsxLp35blwX7V17JN4H84OK3e7vC9Sy4jMXfCGHqYbqofOLmH4y8zDFBKUZqCduN2OoXRdsZufPFY5Q==" saltValue="VrafK83Qoj/ZktyI3I5ZBw==" spinCount="100000" sheet="1" formatCells="0" formatColumns="0" formatRows="0" selectLockedCells="1"/>
  <mergeCells count="38">
    <mergeCell ref="V11:AC11"/>
    <mergeCell ref="B17:D17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32:C46"/>
    <mergeCell ref="F6:L7"/>
    <mergeCell ref="B9:P9"/>
    <mergeCell ref="B13:D13"/>
    <mergeCell ref="B15:D15"/>
    <mergeCell ref="B16:D16"/>
    <mergeCell ref="B11:N11"/>
    <mergeCell ref="P11:T11"/>
    <mergeCell ref="T69:V82"/>
    <mergeCell ref="V32:W47"/>
    <mergeCell ref="G47:R48"/>
    <mergeCell ref="D32:U32"/>
    <mergeCell ref="D33:U33"/>
    <mergeCell ref="R49:R51"/>
    <mergeCell ref="T53:V67"/>
    <mergeCell ref="D35:U37"/>
    <mergeCell ref="D38:U39"/>
    <mergeCell ref="D41:U43"/>
    <mergeCell ref="D44:U46"/>
    <mergeCell ref="G49:I51"/>
    <mergeCell ref="B53:F67"/>
    <mergeCell ref="L49:L51"/>
    <mergeCell ref="N49:N51"/>
    <mergeCell ref="P49:P51"/>
  </mergeCells>
  <dataValidations count="2">
    <dataValidation type="list" allowBlank="1" showInputMessage="1" showErrorMessage="1" sqref="AD15:AD29">
      <formula1>$AF$15:$AF$17</formula1>
    </dataValidation>
    <dataValidation type="list" allowBlank="1" showInputMessage="1" showErrorMessage="1" sqref="AA15:AA29">
      <formula1>"Acciones,Urbano,Agropecuario,Rural"</formula1>
    </dataValidation>
  </dataValidations>
  <pageMargins left="0.39370078740157483" right="0.39370078740157483" top="0.59055118110236227" bottom="0.59055118110236227" header="0.31496062992125984" footer="0.31496062992125984"/>
  <pageSetup scale="70" pageOrder="overThenDown" orientation="landscape" horizontalDpi="360" verticalDpi="360" r:id="rId1"/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2:AI51"/>
  <sheetViews>
    <sheetView topLeftCell="A7" workbookViewId="0">
      <selection activeCell="M38" sqref="M38:R38"/>
    </sheetView>
  </sheetViews>
  <sheetFormatPr baseColWidth="10" defaultRowHeight="12.75"/>
  <cols>
    <col min="1" max="1" width="3.7109375" customWidth="1"/>
    <col min="2" max="38" width="2.7109375" customWidth="1"/>
  </cols>
  <sheetData>
    <row r="2" spans="2:35">
      <c r="B2" s="1330" t="str">
        <f>+Datos!D12</f>
        <v xml:space="preserve"> </v>
      </c>
      <c r="C2" s="1330"/>
      <c r="D2" s="1330"/>
      <c r="E2" s="1330"/>
      <c r="F2" s="1330"/>
      <c r="G2" s="1330"/>
      <c r="H2" s="1330"/>
      <c r="I2" s="558"/>
      <c r="J2" s="1330" t="str">
        <f>+Datos!D13</f>
        <v xml:space="preserve"> </v>
      </c>
      <c r="K2" s="1330"/>
      <c r="L2" s="1330"/>
      <c r="M2" s="1330"/>
      <c r="N2" s="1330"/>
      <c r="O2" s="1330"/>
      <c r="P2" s="1330"/>
      <c r="Q2" s="558"/>
      <c r="R2" s="1330" t="str">
        <f>+Datos!D14</f>
        <v xml:space="preserve"> </v>
      </c>
      <c r="S2" s="1330"/>
      <c r="T2" s="1330"/>
      <c r="U2" s="1330"/>
      <c r="V2" s="1330"/>
      <c r="W2" s="1330"/>
      <c r="X2" s="1330"/>
      <c r="Y2" s="558"/>
      <c r="Z2" s="1330" t="str">
        <f>+Datos!D15</f>
        <v xml:space="preserve"> </v>
      </c>
      <c r="AA2" s="1330"/>
      <c r="AB2" s="1330"/>
      <c r="AC2" s="1330"/>
      <c r="AD2" s="1330"/>
      <c r="AE2" s="1330"/>
      <c r="AF2" s="1330"/>
    </row>
    <row r="3" spans="2:35">
      <c r="B3" s="558" t="s">
        <v>1114</v>
      </c>
      <c r="C3" s="558" t="s">
        <v>850</v>
      </c>
      <c r="D3" s="558" t="s">
        <v>1115</v>
      </c>
      <c r="E3" s="1331" t="str">
        <f>+Datos!D11</f>
        <v xml:space="preserve"> </v>
      </c>
      <c r="F3" s="1331"/>
      <c r="G3" s="1331"/>
      <c r="H3" s="1331"/>
      <c r="I3" s="1331"/>
      <c r="J3" s="1331"/>
      <c r="K3" s="1331"/>
    </row>
    <row r="4" spans="2:35">
      <c r="H4" s="1325" t="s">
        <v>1116</v>
      </c>
      <c r="I4" s="1325"/>
      <c r="J4" s="1325"/>
      <c r="K4" s="1325"/>
      <c r="L4" s="1325"/>
      <c r="M4" s="1325"/>
      <c r="N4" s="1325"/>
      <c r="O4" s="1325"/>
      <c r="P4" s="1325"/>
      <c r="Q4" s="1325"/>
      <c r="R4" s="1325"/>
      <c r="S4" s="1325"/>
      <c r="T4" s="1325"/>
      <c r="U4" s="1325"/>
      <c r="V4" s="1325"/>
      <c r="W4" s="1325"/>
      <c r="X4" s="1325"/>
      <c r="Y4" s="1325"/>
      <c r="Z4" s="1325" t="s">
        <v>1117</v>
      </c>
      <c r="AA4" s="1325"/>
      <c r="AB4" s="1325">
        <f>+Datos!D10</f>
        <v>2025</v>
      </c>
      <c r="AC4" s="1325"/>
      <c r="AD4" s="1325"/>
    </row>
    <row r="5" spans="2:35" ht="13.5" thickBot="1">
      <c r="B5" s="559"/>
      <c r="C5" s="559"/>
      <c r="D5" s="559"/>
      <c r="E5" s="559"/>
      <c r="F5" s="559"/>
      <c r="G5" s="559"/>
      <c r="H5" s="1326"/>
      <c r="I5" s="1326"/>
      <c r="J5" s="1326"/>
      <c r="K5" s="1326"/>
      <c r="L5" s="1326"/>
      <c r="M5" s="1326"/>
      <c r="N5" s="1326"/>
      <c r="O5" s="1326"/>
      <c r="P5" s="1326"/>
      <c r="Q5" s="1326"/>
      <c r="R5" s="1326"/>
      <c r="S5" s="1326"/>
      <c r="T5" s="1326"/>
      <c r="U5" s="1326"/>
      <c r="V5" s="1326"/>
      <c r="W5" s="1326"/>
      <c r="X5" s="1326"/>
      <c r="Y5" s="1326"/>
      <c r="Z5" s="1326"/>
      <c r="AA5" s="1326"/>
      <c r="AB5" s="1326"/>
      <c r="AC5" s="1326"/>
      <c r="AD5" s="1326"/>
      <c r="AE5" s="559"/>
      <c r="AF5" s="559"/>
      <c r="AG5" s="559"/>
      <c r="AH5" s="559"/>
      <c r="AI5" s="559"/>
    </row>
    <row r="6" spans="2:35" ht="13.5" thickTop="1"/>
    <row r="7" spans="2:35">
      <c r="B7" s="560" t="s">
        <v>1118</v>
      </c>
      <c r="T7" s="560" t="s">
        <v>1127</v>
      </c>
    </row>
    <row r="8" spans="2:35">
      <c r="B8" s="560" t="s">
        <v>1119</v>
      </c>
      <c r="C8" s="560"/>
      <c r="D8" s="560"/>
      <c r="E8" s="560"/>
      <c r="F8" s="560"/>
      <c r="G8" s="560"/>
      <c r="H8" s="560"/>
      <c r="T8" s="560" t="s">
        <v>1128</v>
      </c>
    </row>
    <row r="9" spans="2:35" ht="12.75" customHeight="1">
      <c r="B9" s="1314" t="s">
        <v>1120</v>
      </c>
      <c r="C9" s="1314"/>
      <c r="D9" s="1314"/>
      <c r="E9" s="1314"/>
      <c r="F9" s="1314"/>
      <c r="G9" s="1314"/>
      <c r="H9" s="1314"/>
      <c r="I9" s="1314"/>
      <c r="J9" s="1314"/>
      <c r="K9" s="1314"/>
      <c r="L9" s="1315">
        <f>+'Patrimonio Liquido'!F38</f>
        <v>0</v>
      </c>
      <c r="M9" s="1315"/>
      <c r="N9" s="1315"/>
      <c r="O9" s="1315"/>
      <c r="P9" s="1315"/>
      <c r="Q9" s="1315"/>
      <c r="T9" s="1327" t="s">
        <v>1129</v>
      </c>
      <c r="U9" s="1327"/>
      <c r="V9" s="1327"/>
      <c r="W9" s="1327"/>
      <c r="X9" s="1327"/>
      <c r="Y9" s="1327"/>
      <c r="Z9" s="1327"/>
      <c r="AA9" s="1327"/>
      <c r="AB9" s="1327"/>
      <c r="AC9" s="1327"/>
      <c r="AD9" s="1328">
        <f>+'Patrimonio Liquido'!F84</f>
        <v>0</v>
      </c>
      <c r="AE9" s="1328"/>
      <c r="AF9" s="1328"/>
      <c r="AG9" s="1328"/>
      <c r="AH9" s="1328"/>
      <c r="AI9" s="1328"/>
    </row>
    <row r="10" spans="2:35">
      <c r="B10" s="1314" t="s">
        <v>1121</v>
      </c>
      <c r="C10" s="1314"/>
      <c r="D10" s="1314"/>
      <c r="E10" s="1314"/>
      <c r="F10" s="1314"/>
      <c r="G10" s="1314"/>
      <c r="H10" s="1314"/>
      <c r="I10" s="1314"/>
      <c r="J10" s="1314"/>
      <c r="K10" s="1314"/>
      <c r="L10" s="1315">
        <f>+'Patrimonio Liquido'!H38</f>
        <v>0</v>
      </c>
      <c r="M10" s="1315"/>
      <c r="N10" s="1315"/>
      <c r="O10" s="1315"/>
      <c r="P10" s="1315"/>
      <c r="Q10" s="1315"/>
      <c r="T10" s="1327"/>
      <c r="U10" s="1327"/>
      <c r="V10" s="1327"/>
      <c r="W10" s="1327"/>
      <c r="X10" s="1327"/>
      <c r="Y10" s="1327"/>
      <c r="Z10" s="1327"/>
      <c r="AA10" s="1327"/>
      <c r="AB10" s="1327"/>
      <c r="AC10" s="1327"/>
      <c r="AD10" s="1328"/>
      <c r="AE10" s="1328"/>
      <c r="AF10" s="1328"/>
      <c r="AG10" s="1328"/>
      <c r="AH10" s="1328"/>
      <c r="AI10" s="1328"/>
    </row>
    <row r="11" spans="2:35">
      <c r="B11" s="1314" t="s">
        <v>15</v>
      </c>
      <c r="C11" s="1314"/>
      <c r="D11" s="1314"/>
      <c r="E11" s="1314"/>
      <c r="F11" s="1314"/>
      <c r="G11" s="1314"/>
      <c r="H11" s="1314"/>
      <c r="I11" s="1314"/>
      <c r="J11" s="1314"/>
      <c r="K11" s="1314"/>
      <c r="L11" s="1318">
        <f>+'Patrimonio Liquido'!L38</f>
        <v>0</v>
      </c>
      <c r="M11" s="1318"/>
      <c r="N11" s="1318"/>
      <c r="O11" s="1318"/>
      <c r="P11" s="1318"/>
      <c r="Q11" s="1318"/>
      <c r="T11" s="1327"/>
      <c r="U11" s="1327"/>
      <c r="V11" s="1327"/>
      <c r="W11" s="1327"/>
      <c r="X11" s="1327"/>
      <c r="Y11" s="1327"/>
      <c r="Z11" s="1327"/>
      <c r="AA11" s="1327"/>
      <c r="AB11" s="1327"/>
      <c r="AC11" s="1327"/>
      <c r="AD11" s="1328"/>
      <c r="AE11" s="1328"/>
      <c r="AF11" s="1328"/>
      <c r="AG11" s="1328"/>
      <c r="AH11" s="1328"/>
      <c r="AI11" s="1328"/>
    </row>
    <row r="12" spans="2:35" ht="13.5" thickBot="1">
      <c r="B12" s="1321" t="s">
        <v>1122</v>
      </c>
      <c r="C12" s="1321"/>
      <c r="D12" s="1321"/>
      <c r="E12" s="1321"/>
      <c r="F12" s="1321"/>
      <c r="G12" s="1321"/>
      <c r="H12" s="1321"/>
      <c r="I12" s="1321"/>
      <c r="J12" s="1321"/>
      <c r="K12" s="1321"/>
      <c r="L12" s="1323">
        <f>+L9+L10+L11</f>
        <v>0</v>
      </c>
      <c r="M12" s="1323"/>
      <c r="N12" s="1323"/>
      <c r="O12" s="1323"/>
      <c r="P12" s="1323"/>
      <c r="Q12" s="1323"/>
      <c r="T12" s="1327"/>
      <c r="U12" s="1327"/>
      <c r="V12" s="1327"/>
      <c r="W12" s="1327"/>
      <c r="X12" s="1327"/>
      <c r="Y12" s="1327"/>
      <c r="Z12" s="1327"/>
      <c r="AA12" s="1327"/>
      <c r="AB12" s="1327"/>
      <c r="AC12" s="1327"/>
      <c r="AD12" s="1329"/>
      <c r="AE12" s="1329"/>
      <c r="AF12" s="1329"/>
      <c r="AG12" s="1329"/>
      <c r="AH12" s="1329"/>
      <c r="AI12" s="1329"/>
    </row>
    <row r="13" spans="2:35" ht="14.25" thickTop="1" thickBot="1">
      <c r="L13" s="1315"/>
      <c r="M13" s="1315"/>
      <c r="N13" s="1315"/>
      <c r="O13" s="1315"/>
      <c r="P13" s="1315"/>
      <c r="Q13" s="1315"/>
      <c r="T13" s="1321" t="s">
        <v>1130</v>
      </c>
      <c r="U13" s="1321"/>
      <c r="V13" s="1321"/>
      <c r="W13" s="1321"/>
      <c r="X13" s="1321"/>
      <c r="Y13" s="1321"/>
      <c r="Z13" s="1321"/>
      <c r="AA13" s="1321"/>
      <c r="AB13" s="1321"/>
      <c r="AC13" s="1321"/>
      <c r="AD13" s="1323">
        <f>+AD9</f>
        <v>0</v>
      </c>
      <c r="AE13" s="1323"/>
      <c r="AF13" s="1323"/>
      <c r="AG13" s="1323"/>
      <c r="AH13" s="1323"/>
      <c r="AI13" s="1323"/>
    </row>
    <row r="14" spans="2:35" ht="13.5" thickTop="1">
      <c r="B14" s="560" t="s">
        <v>1123</v>
      </c>
      <c r="L14" s="561"/>
      <c r="M14" s="561"/>
      <c r="N14" s="561"/>
      <c r="O14" s="561"/>
      <c r="P14" s="561"/>
      <c r="Q14" s="561"/>
    </row>
    <row r="15" spans="2:35">
      <c r="B15" s="1314" t="s">
        <v>94</v>
      </c>
      <c r="C15" s="1314"/>
      <c r="D15" s="1314"/>
      <c r="E15" s="1314"/>
      <c r="F15" s="1314"/>
      <c r="G15" s="1314"/>
      <c r="H15" s="1314"/>
      <c r="I15" s="1314"/>
      <c r="J15" s="1314"/>
      <c r="K15" s="1314"/>
      <c r="L15" s="1315">
        <f>+'Patrimonio Liquido'!J38</f>
        <v>0</v>
      </c>
      <c r="M15" s="1315"/>
      <c r="N15" s="1315"/>
      <c r="O15" s="1315"/>
      <c r="P15" s="1315"/>
      <c r="Q15" s="1315"/>
      <c r="T15" s="560" t="s">
        <v>1131</v>
      </c>
    </row>
    <row r="16" spans="2:35">
      <c r="B16" s="1314" t="s">
        <v>1124</v>
      </c>
      <c r="C16" s="1314"/>
      <c r="D16" s="1314"/>
      <c r="E16" s="1314"/>
      <c r="F16" s="1314"/>
      <c r="G16" s="1314"/>
      <c r="H16" s="1314"/>
      <c r="I16" s="1314"/>
      <c r="J16" s="1314"/>
      <c r="K16" s="1314"/>
      <c r="L16" s="1315">
        <f>+'Patrimonio Liquido'!N38</f>
        <v>0</v>
      </c>
      <c r="M16" s="1315"/>
      <c r="N16" s="1315"/>
      <c r="O16" s="1315"/>
      <c r="P16" s="1315"/>
      <c r="Q16" s="1315"/>
      <c r="T16" s="1314" t="s">
        <v>1132</v>
      </c>
      <c r="U16" s="1314"/>
      <c r="V16" s="1314"/>
      <c r="W16" s="1314"/>
      <c r="X16" s="1314"/>
      <c r="Y16" s="1314"/>
      <c r="Z16" s="1314"/>
      <c r="AA16" s="1314"/>
      <c r="AB16" s="1314"/>
      <c r="AC16" s="1314"/>
      <c r="AD16" s="1315">
        <f>+AD18-AD17</f>
        <v>0</v>
      </c>
      <c r="AE16" s="1315"/>
      <c r="AF16" s="1315"/>
      <c r="AG16" s="1315"/>
      <c r="AH16" s="1315"/>
      <c r="AI16" s="1315"/>
    </row>
    <row r="17" spans="2:35">
      <c r="B17" s="1314" t="s">
        <v>37</v>
      </c>
      <c r="C17" s="1314"/>
      <c r="D17" s="1314"/>
      <c r="E17" s="1314"/>
      <c r="F17" s="1314"/>
      <c r="G17" s="1314"/>
      <c r="H17" s="1314"/>
      <c r="I17" s="1314"/>
      <c r="J17" s="1314"/>
      <c r="K17" s="1314"/>
      <c r="L17" s="1318">
        <f>+'Patrimonio Liquido'!P38</f>
        <v>0</v>
      </c>
      <c r="M17" s="1318"/>
      <c r="N17" s="1318"/>
      <c r="O17" s="1318"/>
      <c r="P17" s="1318"/>
      <c r="Q17" s="1318"/>
      <c r="T17" s="1314" t="s">
        <v>1133</v>
      </c>
      <c r="U17" s="1314"/>
      <c r="V17" s="1314"/>
      <c r="W17" s="1314"/>
      <c r="X17" s="1314"/>
      <c r="Y17" s="1314"/>
      <c r="Z17" s="1314"/>
      <c r="AA17" s="1314"/>
      <c r="AB17" s="1314"/>
      <c r="AC17" s="1314"/>
      <c r="AD17" s="1318">
        <f>+M47</f>
        <v>0</v>
      </c>
      <c r="AE17" s="1318"/>
      <c r="AF17" s="1318"/>
      <c r="AG17" s="1318"/>
      <c r="AH17" s="1318"/>
      <c r="AI17" s="1318"/>
    </row>
    <row r="18" spans="2:35" ht="13.5" thickBot="1">
      <c r="B18" s="1321" t="s">
        <v>1125</v>
      </c>
      <c r="C18" s="1321"/>
      <c r="D18" s="1321"/>
      <c r="E18" s="1321"/>
      <c r="F18" s="1321"/>
      <c r="G18" s="1321"/>
      <c r="H18" s="1321"/>
      <c r="I18" s="1321"/>
      <c r="J18" s="1321"/>
      <c r="K18" s="1321"/>
      <c r="L18" s="1323">
        <f>+L15+L16+L17</f>
        <v>0</v>
      </c>
      <c r="M18" s="1323"/>
      <c r="N18" s="1323"/>
      <c r="O18" s="1323"/>
      <c r="P18" s="1323"/>
      <c r="Q18" s="1323"/>
      <c r="T18" s="1321" t="s">
        <v>101</v>
      </c>
      <c r="U18" s="1321"/>
      <c r="V18" s="1321"/>
      <c r="W18" s="1321"/>
      <c r="X18" s="1321"/>
      <c r="Y18" s="1321"/>
      <c r="Z18" s="1321"/>
      <c r="AA18" s="1321"/>
      <c r="AB18" s="1321"/>
      <c r="AC18" s="1321"/>
      <c r="AD18" s="1323">
        <f>+'Patrimonio Liquido'!P77</f>
        <v>0</v>
      </c>
      <c r="AE18" s="1323"/>
      <c r="AF18" s="1323"/>
      <c r="AG18" s="1323"/>
      <c r="AH18" s="1323"/>
      <c r="AI18" s="1323"/>
    </row>
    <row r="19" spans="2:35" ht="13.5" thickTop="1">
      <c r="L19" s="562"/>
      <c r="M19" s="562"/>
      <c r="N19" s="562"/>
      <c r="O19" s="562"/>
      <c r="P19" s="562"/>
      <c r="Q19" s="562"/>
    </row>
    <row r="20" spans="2:35" ht="13.5" thickBot="1">
      <c r="B20" s="1321" t="s">
        <v>1126</v>
      </c>
      <c r="C20" s="1321"/>
      <c r="D20" s="1321"/>
      <c r="E20" s="1321"/>
      <c r="F20" s="1321"/>
      <c r="G20" s="1321"/>
      <c r="H20" s="1321"/>
      <c r="I20" s="1321"/>
      <c r="J20" s="1321"/>
      <c r="K20" s="1321"/>
      <c r="L20" s="1323">
        <f>+L12+L18</f>
        <v>0</v>
      </c>
      <c r="M20" s="1323"/>
      <c r="N20" s="1323"/>
      <c r="O20" s="1323"/>
      <c r="P20" s="1323"/>
      <c r="Q20" s="1323"/>
      <c r="T20" s="1324" t="s">
        <v>1134</v>
      </c>
      <c r="U20" s="1324"/>
      <c r="V20" s="1324"/>
      <c r="W20" s="1324"/>
      <c r="X20" s="1324"/>
      <c r="Y20" s="1324"/>
      <c r="Z20" s="1324"/>
      <c r="AA20" s="1324"/>
      <c r="AB20" s="1324"/>
      <c r="AC20" s="1324"/>
      <c r="AD20" s="1323">
        <f>+AD13+AD18</f>
        <v>0</v>
      </c>
      <c r="AE20" s="1323"/>
      <c r="AF20" s="1323"/>
      <c r="AG20" s="1323"/>
      <c r="AH20" s="1323"/>
      <c r="AI20" s="1323"/>
    </row>
    <row r="21" spans="2:35" ht="13.5" thickTop="1"/>
    <row r="23" spans="2:35">
      <c r="H23" s="1325" t="s">
        <v>1135</v>
      </c>
      <c r="I23" s="1325"/>
      <c r="J23" s="1325"/>
      <c r="K23" s="1325"/>
      <c r="L23" s="1325"/>
      <c r="M23" s="1325"/>
      <c r="N23" s="1325"/>
      <c r="O23" s="1325"/>
      <c r="P23" s="1325"/>
      <c r="Q23" s="1325"/>
      <c r="R23" s="1325"/>
      <c r="S23" s="1325"/>
      <c r="T23" s="1325"/>
      <c r="U23" s="1325"/>
      <c r="V23" s="1325"/>
      <c r="W23" s="1325"/>
      <c r="X23" s="1325"/>
      <c r="Y23" s="1325"/>
      <c r="Z23" s="1325" t="s">
        <v>1117</v>
      </c>
      <c r="AA23" s="1325"/>
      <c r="AB23" s="1325">
        <f>+AB4</f>
        <v>2025</v>
      </c>
      <c r="AC23" s="1325"/>
      <c r="AD23" s="1325"/>
    </row>
    <row r="24" spans="2:35" ht="13.5" thickBot="1">
      <c r="H24" s="1326"/>
      <c r="I24" s="1326"/>
      <c r="J24" s="1326"/>
      <c r="K24" s="1326"/>
      <c r="L24" s="1326"/>
      <c r="M24" s="1326"/>
      <c r="N24" s="1326"/>
      <c r="O24" s="1326"/>
      <c r="P24" s="1326"/>
      <c r="Q24" s="1326"/>
      <c r="R24" s="1326"/>
      <c r="S24" s="1326"/>
      <c r="T24" s="1326"/>
      <c r="U24" s="1326"/>
      <c r="V24" s="1326"/>
      <c r="W24" s="1326"/>
      <c r="X24" s="1326"/>
      <c r="Y24" s="1326"/>
      <c r="Z24" s="1326"/>
      <c r="AA24" s="1326"/>
      <c r="AB24" s="1326"/>
      <c r="AC24" s="1326"/>
      <c r="AD24" s="1326"/>
    </row>
    <row r="25" spans="2:35" ht="13.5" thickTop="1"/>
    <row r="26" spans="2:35">
      <c r="C26" s="560" t="s">
        <v>1136</v>
      </c>
    </row>
    <row r="27" spans="2:35">
      <c r="C27" s="1314" t="s">
        <v>1137</v>
      </c>
      <c r="D27" s="1314"/>
      <c r="E27" s="1314"/>
      <c r="F27" s="1314"/>
      <c r="G27" s="1314"/>
      <c r="H27" s="1314"/>
      <c r="I27" s="1314"/>
      <c r="J27" s="1314"/>
      <c r="K27" s="1314"/>
      <c r="L27" s="1314"/>
      <c r="M27" s="1319">
        <f>+'DR 210 Borrador'!L13</f>
        <v>0</v>
      </c>
      <c r="N27" s="1319"/>
      <c r="O27" s="1319"/>
      <c r="P27" s="1319"/>
      <c r="Q27" s="1319"/>
      <c r="R27" s="1319"/>
      <c r="U27" s="560" t="s">
        <v>1153</v>
      </c>
    </row>
    <row r="28" spans="2:35">
      <c r="C28" s="1314" t="s">
        <v>1138</v>
      </c>
      <c r="D28" s="1314"/>
      <c r="E28" s="1314"/>
      <c r="F28" s="1314"/>
      <c r="G28" s="1314"/>
      <c r="H28" s="1314"/>
      <c r="I28" s="1314"/>
      <c r="J28" s="1314"/>
      <c r="K28" s="1314"/>
      <c r="L28" s="1314"/>
      <c r="M28" s="1319">
        <f>+'DR 210 Borrador'!R13</f>
        <v>0</v>
      </c>
      <c r="N28" s="1319"/>
      <c r="O28" s="1319"/>
      <c r="P28" s="1319"/>
      <c r="Q28" s="1319"/>
      <c r="R28" s="1319"/>
      <c r="U28" s="1314" t="s">
        <v>1154</v>
      </c>
      <c r="V28" s="1314"/>
      <c r="W28" s="1314"/>
      <c r="X28" s="1314"/>
      <c r="Y28" s="1314"/>
      <c r="Z28" s="1314"/>
      <c r="AA28" s="1314"/>
      <c r="AB28" s="1314"/>
      <c r="AC28" s="1314"/>
      <c r="AD28" s="1315">
        <f>+'DR 210 Borrador'!L29+'DR 210 Borrador'!R29+'DR 210 Borrador'!X29+'DR 210 Borrador'!AD29</f>
        <v>0</v>
      </c>
      <c r="AE28" s="1315"/>
      <c r="AF28" s="1315"/>
      <c r="AG28" s="1315"/>
      <c r="AH28" s="1315"/>
      <c r="AI28" s="1315"/>
    </row>
    <row r="29" spans="2:35">
      <c r="C29" s="1314" t="s">
        <v>1139</v>
      </c>
      <c r="D29" s="1314"/>
      <c r="E29" s="1314"/>
      <c r="F29" s="1314"/>
      <c r="G29" s="1314"/>
      <c r="H29" s="1314"/>
      <c r="I29" s="1314"/>
      <c r="J29" s="1314"/>
      <c r="K29" s="1314"/>
      <c r="L29" s="1314"/>
      <c r="M29" s="1319">
        <f>+'DR 210 Borrador'!X13</f>
        <v>0</v>
      </c>
      <c r="N29" s="1319"/>
      <c r="O29" s="1319"/>
      <c r="P29" s="1319"/>
      <c r="Q29" s="1319"/>
      <c r="R29" s="1319"/>
      <c r="U29" s="1314" t="s">
        <v>1155</v>
      </c>
      <c r="V29" s="1314"/>
      <c r="W29" s="1314"/>
      <c r="X29" s="1314"/>
      <c r="Y29" s="1314"/>
      <c r="Z29" s="1314"/>
      <c r="AA29" s="1314"/>
      <c r="AB29" s="1314"/>
      <c r="AC29" s="1314"/>
      <c r="AD29" s="1315">
        <f>+'DR 210 Borrador'!M48</f>
        <v>0</v>
      </c>
      <c r="AE29" s="1315"/>
      <c r="AF29" s="1315"/>
      <c r="AG29" s="1315"/>
      <c r="AH29" s="1315"/>
      <c r="AI29" s="1315"/>
    </row>
    <row r="30" spans="2:35">
      <c r="C30" s="1314" t="s">
        <v>1140</v>
      </c>
      <c r="D30" s="1314"/>
      <c r="E30" s="1314"/>
      <c r="F30" s="1314"/>
      <c r="G30" s="1314"/>
      <c r="H30" s="1314"/>
      <c r="I30" s="1314"/>
      <c r="J30" s="1314"/>
      <c r="K30" s="1314"/>
      <c r="L30" s="1314"/>
      <c r="M30" s="1319">
        <f>+'DR 210 Borrador'!AD13</f>
        <v>0</v>
      </c>
      <c r="N30" s="1319"/>
      <c r="O30" s="1319"/>
      <c r="P30" s="1319"/>
      <c r="Q30" s="1319"/>
      <c r="R30" s="1319"/>
      <c r="U30" s="1314" t="s">
        <v>1156</v>
      </c>
      <c r="V30" s="1314"/>
      <c r="W30" s="1314"/>
      <c r="X30" s="1314"/>
      <c r="Y30" s="1314"/>
      <c r="Z30" s="1314"/>
      <c r="AA30" s="1314"/>
      <c r="AB30" s="1314"/>
      <c r="AC30" s="1314"/>
      <c r="AD30" s="1315">
        <f>+'DR 210 Borrador'!M39+'DR 210 Borrador'!M40+'DR 210 Borrador'!M41+'DR 210 Borrador'!M42</f>
        <v>0</v>
      </c>
      <c r="AE30" s="1315"/>
      <c r="AF30" s="1315"/>
      <c r="AG30" s="1315"/>
      <c r="AH30" s="1315"/>
      <c r="AI30" s="1315"/>
    </row>
    <row r="31" spans="2:35">
      <c r="C31" s="1314" t="s">
        <v>207</v>
      </c>
      <c r="D31" s="1314"/>
      <c r="E31" s="1314"/>
      <c r="F31" s="1314"/>
      <c r="G31" s="1314"/>
      <c r="H31" s="1314"/>
      <c r="I31" s="1314"/>
      <c r="J31" s="1314"/>
      <c r="K31" s="1314"/>
      <c r="L31" s="1314"/>
      <c r="M31" s="1319">
        <f>+'DR 210 Borrador'!M32</f>
        <v>0</v>
      </c>
      <c r="N31" s="1319"/>
      <c r="O31" s="1319"/>
      <c r="P31" s="1319"/>
      <c r="Q31" s="1319"/>
      <c r="R31" s="1319"/>
      <c r="U31" s="1314" t="s">
        <v>1161</v>
      </c>
      <c r="V31" s="1314"/>
      <c r="W31" s="1314"/>
      <c r="X31" s="1314"/>
      <c r="Y31" s="1314"/>
      <c r="Z31" s="1314"/>
      <c r="AA31" s="1314"/>
      <c r="AB31" s="1314"/>
      <c r="AC31" s="1314"/>
      <c r="AD31" s="1315">
        <f>+'DR 210 Borrador'!M36</f>
        <v>0</v>
      </c>
      <c r="AE31" s="1315"/>
      <c r="AF31" s="1315"/>
      <c r="AG31" s="1315"/>
      <c r="AH31" s="1315"/>
      <c r="AI31" s="1315"/>
    </row>
    <row r="32" spans="2:35">
      <c r="C32" s="1314" t="s">
        <v>1141</v>
      </c>
      <c r="D32" s="1314"/>
      <c r="E32" s="1314"/>
      <c r="F32" s="1314"/>
      <c r="G32" s="1314"/>
      <c r="H32" s="1314"/>
      <c r="I32" s="1314"/>
      <c r="J32" s="1314"/>
      <c r="K32" s="1314"/>
      <c r="L32" s="1314"/>
      <c r="M32" s="1319">
        <f>+'DR 210 Borrador'!M37+'DR 210 Borrador'!M40+'DR 210 Borrador'!M41+'DR 210 Borrador'!M42</f>
        <v>0</v>
      </c>
      <c r="N32" s="1319"/>
      <c r="O32" s="1319"/>
      <c r="P32" s="1319"/>
      <c r="Q32" s="1319"/>
      <c r="R32" s="1319"/>
      <c r="U32" s="1314" t="s">
        <v>1157</v>
      </c>
      <c r="V32" s="1314"/>
      <c r="W32" s="1314"/>
      <c r="X32" s="1314"/>
      <c r="Y32" s="1314"/>
      <c r="Z32" s="1314"/>
      <c r="AA32" s="1314"/>
      <c r="AB32" s="1314"/>
      <c r="AC32" s="1314"/>
      <c r="AD32" s="1315">
        <f>+'DR 210 Borrador'!L21+'DR 210 Borrador'!R21+'DR 210 Borrador'!X21+'DR 210 Borrador'!AD21</f>
        <v>0</v>
      </c>
      <c r="AE32" s="1315"/>
      <c r="AF32" s="1315"/>
      <c r="AG32" s="1315"/>
      <c r="AH32" s="1315"/>
      <c r="AI32" s="1315"/>
    </row>
    <row r="33" spans="3:35">
      <c r="C33" s="1314" t="s">
        <v>1142</v>
      </c>
      <c r="D33" s="1314"/>
      <c r="E33" s="1314"/>
      <c r="F33" s="1314"/>
      <c r="G33" s="1314"/>
      <c r="H33" s="1314"/>
      <c r="I33" s="1314"/>
      <c r="J33" s="1314"/>
      <c r="K33" s="1314"/>
      <c r="L33" s="1314"/>
      <c r="M33" s="1319">
        <f>+'DR 210 Borrador'!X18+'DR 210 Borrador'!AD18</f>
        <v>0</v>
      </c>
      <c r="N33" s="1319"/>
      <c r="O33" s="1319"/>
      <c r="P33" s="1319"/>
      <c r="Q33" s="1319"/>
      <c r="R33" s="1319"/>
      <c r="U33" s="1314" t="s">
        <v>1160</v>
      </c>
      <c r="V33" s="1314"/>
      <c r="W33" s="1314"/>
      <c r="X33" s="1314"/>
      <c r="Y33" s="1314"/>
      <c r="Z33" s="1314"/>
      <c r="AA33" s="1314"/>
      <c r="AB33" s="1314"/>
      <c r="AC33" s="1314"/>
      <c r="AD33" s="1315">
        <f>+'Rtas Especiales'!T31</f>
        <v>0</v>
      </c>
      <c r="AE33" s="1315"/>
      <c r="AF33" s="1315"/>
      <c r="AG33" s="1315"/>
      <c r="AH33" s="1315"/>
      <c r="AI33" s="1315"/>
    </row>
    <row r="34" spans="3:35">
      <c r="C34" s="1314" t="s">
        <v>838</v>
      </c>
      <c r="D34" s="1314"/>
      <c r="E34" s="1314"/>
      <c r="F34" s="1314"/>
      <c r="G34" s="1314"/>
      <c r="H34" s="1314"/>
      <c r="I34" s="1314"/>
      <c r="J34" s="1314"/>
      <c r="K34" s="1314"/>
      <c r="L34" s="1314"/>
      <c r="M34" s="1318">
        <f>+'Rtas Especiales'!J31+'Rtas Especiales'!L31</f>
        <v>0</v>
      </c>
      <c r="N34" s="1318"/>
      <c r="O34" s="1318"/>
      <c r="P34" s="1318"/>
      <c r="Q34" s="1318"/>
      <c r="R34" s="1318"/>
      <c r="U34" s="1314" t="s">
        <v>965</v>
      </c>
      <c r="V34" s="1314"/>
      <c r="W34" s="1314"/>
      <c r="X34" s="1314"/>
      <c r="Y34" s="1314"/>
      <c r="Z34" s="1314"/>
      <c r="AA34" s="1314"/>
      <c r="AB34" s="1314"/>
      <c r="AC34" s="1314"/>
      <c r="AD34" s="1315">
        <f>+'DR 210 Borrador'!M35</f>
        <v>0</v>
      </c>
      <c r="AE34" s="1315"/>
      <c r="AF34" s="1315"/>
      <c r="AG34" s="1315"/>
      <c r="AH34" s="1315"/>
      <c r="AI34" s="1315"/>
    </row>
    <row r="35" spans="3:35">
      <c r="C35" s="1321" t="s">
        <v>1143</v>
      </c>
      <c r="D35" s="1321"/>
      <c r="E35" s="1321"/>
      <c r="F35" s="1321"/>
      <c r="G35" s="1321"/>
      <c r="H35" s="1321"/>
      <c r="I35" s="1321"/>
      <c r="J35" s="1321"/>
      <c r="K35" s="1321"/>
      <c r="L35" s="1321"/>
      <c r="M35" s="1320">
        <f>SUM(M27:R34)</f>
        <v>0</v>
      </c>
      <c r="N35" s="1320"/>
      <c r="O35" s="1320"/>
      <c r="P35" s="1320"/>
      <c r="Q35" s="1320"/>
      <c r="R35" s="1320"/>
      <c r="U35" s="1314" t="s">
        <v>1162</v>
      </c>
      <c r="V35" s="1314"/>
      <c r="W35" s="1314"/>
      <c r="X35" s="1314"/>
      <c r="Y35" s="1314"/>
      <c r="Z35" s="1314"/>
      <c r="AA35" s="1314"/>
      <c r="AB35" s="1314"/>
      <c r="AC35" s="1314"/>
      <c r="AD35" s="1318">
        <f>-M46</f>
        <v>0</v>
      </c>
      <c r="AE35" s="1318"/>
      <c r="AF35" s="1318"/>
      <c r="AG35" s="1318"/>
      <c r="AH35" s="1318"/>
      <c r="AI35" s="1318"/>
    </row>
    <row r="36" spans="3:35" ht="13.5" thickBot="1">
      <c r="C36" s="1314" t="s">
        <v>1144</v>
      </c>
      <c r="D36" s="1314"/>
      <c r="E36" s="1314"/>
      <c r="F36" s="1314"/>
      <c r="G36" s="1314"/>
      <c r="H36" s="1314"/>
      <c r="I36" s="1314"/>
      <c r="J36" s="1314"/>
      <c r="K36" s="1314"/>
      <c r="L36" s="1314"/>
      <c r="M36" s="1319">
        <f>+'DR 210 Borrador'!AD14</f>
        <v>0</v>
      </c>
      <c r="N36" s="1319"/>
      <c r="O36" s="1319"/>
      <c r="P36" s="1319"/>
      <c r="Q36" s="1319"/>
      <c r="R36" s="1319"/>
      <c r="T36" s="1316" t="s">
        <v>1164</v>
      </c>
      <c r="U36" s="1316"/>
      <c r="V36" s="1316"/>
      <c r="W36" s="1316"/>
      <c r="X36" s="1316"/>
      <c r="Y36" s="1316"/>
      <c r="Z36" s="1316"/>
      <c r="AA36" s="1316"/>
      <c r="AB36" s="1316"/>
      <c r="AC36" s="1316"/>
      <c r="AD36" s="1317">
        <f>SUM(AD28:AI35)</f>
        <v>0</v>
      </c>
      <c r="AE36" s="1317"/>
      <c r="AF36" s="1317"/>
      <c r="AG36" s="1317"/>
      <c r="AH36" s="1317"/>
      <c r="AI36" s="1317"/>
    </row>
    <row r="37" spans="3:35" ht="13.5" thickTop="1">
      <c r="C37" s="1314" t="s">
        <v>1158</v>
      </c>
      <c r="D37" s="1314"/>
      <c r="E37" s="1314"/>
      <c r="F37" s="1314"/>
      <c r="G37" s="1314"/>
      <c r="H37" s="1314"/>
      <c r="I37" s="1314"/>
      <c r="J37" s="1314"/>
      <c r="K37" s="1314"/>
      <c r="L37" s="1314"/>
      <c r="M37" s="1319">
        <f>+'DR 210 Borrador'!L15+'DR 210 Borrador'!R15+'DR 210 Borrador'!X15+'DR 210 Borrador'!M33+'DR 210 Borrador'!M38+'DR 210 Borrador'!AD15</f>
        <v>0</v>
      </c>
      <c r="N37" s="1319"/>
      <c r="O37" s="1319"/>
      <c r="P37" s="1319"/>
      <c r="Q37" s="1319"/>
      <c r="R37" s="1319"/>
      <c r="AD37" s="563"/>
      <c r="AE37" s="563"/>
      <c r="AF37" s="563"/>
      <c r="AG37" s="563"/>
      <c r="AH37" s="563"/>
      <c r="AI37" s="563"/>
    </row>
    <row r="38" spans="3:35" ht="12.75" customHeight="1">
      <c r="C38" s="1314" t="s">
        <v>1159</v>
      </c>
      <c r="D38" s="1314"/>
      <c r="E38" s="1314"/>
      <c r="F38" s="1314"/>
      <c r="G38" s="1314"/>
      <c r="H38" s="1314"/>
      <c r="I38" s="1314"/>
      <c r="J38" s="1314"/>
      <c r="K38" s="1314"/>
      <c r="L38" s="1314"/>
      <c r="M38" s="1318">
        <f>+'DR 210 Borrador'!O31</f>
        <v>0</v>
      </c>
      <c r="N38" s="1318"/>
      <c r="O38" s="1318"/>
      <c r="P38" s="1318"/>
      <c r="Q38" s="1318"/>
      <c r="R38" s="1318"/>
      <c r="U38" s="1312" t="s">
        <v>1163</v>
      </c>
      <c r="V38" s="1312"/>
      <c r="W38" s="1312"/>
      <c r="X38" s="1312"/>
      <c r="Y38" s="1312"/>
      <c r="Z38" s="1312"/>
      <c r="AA38" s="1312"/>
      <c r="AB38" s="1312"/>
      <c r="AC38" s="1312"/>
      <c r="AD38" s="1313">
        <f>+AD36-M47</f>
        <v>0</v>
      </c>
      <c r="AE38" s="1313"/>
      <c r="AF38" s="1313"/>
      <c r="AG38" s="1313"/>
      <c r="AH38" s="1313"/>
      <c r="AI38" s="1313"/>
    </row>
    <row r="39" spans="3:35">
      <c r="C39" s="1321" t="s">
        <v>1145</v>
      </c>
      <c r="D39" s="1321"/>
      <c r="E39" s="1321"/>
      <c r="F39" s="1321"/>
      <c r="G39" s="1321"/>
      <c r="H39" s="1321"/>
      <c r="I39" s="1321"/>
      <c r="J39" s="1321"/>
      <c r="K39" s="1321"/>
      <c r="L39" s="1321"/>
      <c r="M39" s="1320">
        <f>+M35-M36-M37+M38</f>
        <v>0</v>
      </c>
      <c r="N39" s="1320"/>
      <c r="O39" s="1320"/>
      <c r="P39" s="1320"/>
      <c r="Q39" s="1320"/>
      <c r="R39" s="1320"/>
      <c r="U39" s="1312"/>
      <c r="V39" s="1312"/>
      <c r="W39" s="1312"/>
      <c r="X39" s="1312"/>
      <c r="Y39" s="1312"/>
      <c r="Z39" s="1312"/>
      <c r="AA39" s="1312"/>
      <c r="AB39" s="1312"/>
      <c r="AC39" s="1312"/>
      <c r="AD39" s="1313"/>
      <c r="AE39" s="1313"/>
      <c r="AF39" s="1313"/>
      <c r="AG39" s="1313"/>
      <c r="AH39" s="1313"/>
      <c r="AI39" s="1313"/>
    </row>
    <row r="40" spans="3:35">
      <c r="U40" s="1312"/>
      <c r="V40" s="1312"/>
      <c r="W40" s="1312"/>
      <c r="X40" s="1312"/>
      <c r="Y40" s="1312"/>
      <c r="Z40" s="1312"/>
      <c r="AA40" s="1312"/>
      <c r="AB40" s="1312"/>
      <c r="AC40" s="1312"/>
      <c r="AD40" s="1313"/>
      <c r="AE40" s="1313"/>
      <c r="AF40" s="1313"/>
      <c r="AG40" s="1313"/>
      <c r="AH40" s="1313"/>
      <c r="AI40" s="1313"/>
    </row>
    <row r="41" spans="3:35">
      <c r="C41" s="560" t="s">
        <v>1146</v>
      </c>
      <c r="U41" s="1312"/>
      <c r="V41" s="1312"/>
      <c r="W41" s="1312"/>
      <c r="X41" s="1312"/>
      <c r="Y41" s="1312"/>
      <c r="Z41" s="1312"/>
      <c r="AA41" s="1312"/>
      <c r="AB41" s="1312"/>
      <c r="AC41" s="1312"/>
      <c r="AD41" s="1313"/>
      <c r="AE41" s="1313"/>
      <c r="AF41" s="1313"/>
      <c r="AG41" s="1313"/>
      <c r="AH41" s="1313"/>
      <c r="AI41" s="1313"/>
    </row>
    <row r="42" spans="3:35">
      <c r="C42" s="1322" t="s">
        <v>1147</v>
      </c>
      <c r="D42" s="1322"/>
      <c r="E42" s="1322"/>
      <c r="F42" s="1322"/>
      <c r="G42" s="1322"/>
      <c r="H42" s="1322"/>
      <c r="I42" s="1322"/>
      <c r="J42" s="1322"/>
      <c r="K42" s="1322"/>
      <c r="L42" s="1322"/>
      <c r="M42" s="1319">
        <f>+'DR 210 Borrador'!R16+'DR 210 Borrador'!X16+'DR 210 Borrador'!AD16</f>
        <v>0</v>
      </c>
      <c r="N42" s="1319"/>
      <c r="O42" s="1319"/>
      <c r="P42" s="1319"/>
      <c r="Q42" s="1319"/>
      <c r="R42" s="1319"/>
      <c r="U42" s="1312"/>
      <c r="V42" s="1312"/>
      <c r="W42" s="1312"/>
      <c r="X42" s="1312"/>
      <c r="Y42" s="1312"/>
      <c r="Z42" s="1312"/>
      <c r="AA42" s="1312"/>
      <c r="AB42" s="1312"/>
      <c r="AC42" s="1312"/>
      <c r="AD42" s="1313"/>
      <c r="AE42" s="1313"/>
      <c r="AF42" s="1313"/>
      <c r="AG42" s="1313"/>
      <c r="AH42" s="1313"/>
      <c r="AI42" s="1313"/>
    </row>
    <row r="43" spans="3:35">
      <c r="C43" s="1314" t="s">
        <v>1150</v>
      </c>
      <c r="D43" s="1314"/>
      <c r="E43" s="1314"/>
      <c r="F43" s="1314"/>
      <c r="G43" s="1314"/>
      <c r="H43" s="1314"/>
      <c r="I43" s="1314"/>
      <c r="J43" s="1314"/>
      <c r="K43" s="1314"/>
      <c r="L43" s="1314"/>
      <c r="M43" s="1319">
        <f>+'DR 210 Borrador'!M46</f>
        <v>0</v>
      </c>
      <c r="N43" s="1319"/>
      <c r="O43" s="1319"/>
      <c r="P43" s="1319"/>
      <c r="Q43" s="1319"/>
      <c r="R43" s="1319"/>
      <c r="U43" s="1312"/>
      <c r="V43" s="1312"/>
      <c r="W43" s="1312"/>
      <c r="X43" s="1312"/>
      <c r="Y43" s="1312"/>
      <c r="Z43" s="1312"/>
      <c r="AA43" s="1312"/>
      <c r="AB43" s="1312"/>
      <c r="AC43" s="1312"/>
      <c r="AD43" s="1313"/>
      <c r="AE43" s="1313"/>
      <c r="AF43" s="1313"/>
      <c r="AG43" s="1313"/>
      <c r="AH43" s="1313"/>
      <c r="AI43" s="1313"/>
    </row>
    <row r="44" spans="3:35">
      <c r="C44" s="1314" t="s">
        <v>1148</v>
      </c>
      <c r="D44" s="1314"/>
      <c r="E44" s="1314"/>
      <c r="F44" s="1314"/>
      <c r="G44" s="1314"/>
      <c r="H44" s="1314"/>
      <c r="I44" s="1314"/>
      <c r="J44" s="1314"/>
      <c r="K44" s="1314"/>
      <c r="L44" s="1314"/>
      <c r="M44" s="1318">
        <f>+'DR 210 Borrador'!L24+'DR 210 Borrador'!R24+'DR 210 Borrador'!X24+'DR 210 Borrador'!AD24</f>
        <v>0</v>
      </c>
      <c r="N44" s="1318"/>
      <c r="O44" s="1318"/>
      <c r="P44" s="1318"/>
      <c r="Q44" s="1318"/>
      <c r="R44" s="1318"/>
      <c r="U44" s="1312"/>
      <c r="V44" s="1312"/>
      <c r="W44" s="1312"/>
      <c r="X44" s="1312"/>
      <c r="Y44" s="1312"/>
      <c r="Z44" s="1312"/>
      <c r="AA44" s="1312"/>
      <c r="AB44" s="1312"/>
      <c r="AC44" s="1312"/>
      <c r="AD44" s="1313"/>
      <c r="AE44" s="1313"/>
      <c r="AF44" s="1313"/>
      <c r="AG44" s="1313"/>
      <c r="AH44" s="1313"/>
      <c r="AI44" s="1313"/>
    </row>
    <row r="45" spans="3:35">
      <c r="C45" s="1321" t="s">
        <v>1149</v>
      </c>
      <c r="D45" s="1321"/>
      <c r="E45" s="1321"/>
      <c r="F45" s="1321"/>
      <c r="G45" s="1321"/>
      <c r="H45" s="1321"/>
      <c r="I45" s="1321"/>
      <c r="J45" s="1321"/>
      <c r="K45" s="1321"/>
      <c r="L45" s="1321"/>
      <c r="M45" s="1320">
        <f>+M39-M42-M43-M44</f>
        <v>0</v>
      </c>
      <c r="N45" s="1320"/>
      <c r="O45" s="1320"/>
      <c r="P45" s="1320"/>
      <c r="Q45" s="1320"/>
      <c r="R45" s="1320"/>
    </row>
    <row r="46" spans="3:35">
      <c r="C46" s="1314" t="s">
        <v>1151</v>
      </c>
      <c r="D46" s="1314"/>
      <c r="E46" s="1314"/>
      <c r="F46" s="1314"/>
      <c r="G46" s="1314"/>
      <c r="H46" s="1314"/>
      <c r="I46" s="1314"/>
      <c r="J46" s="1314"/>
      <c r="K46" s="1314"/>
      <c r="L46" s="1314"/>
      <c r="M46" s="1319">
        <f>+'Anexo Contador'!J137</f>
        <v>0</v>
      </c>
      <c r="N46" s="1319"/>
      <c r="O46" s="1319"/>
      <c r="P46" s="1319"/>
      <c r="Q46" s="1319"/>
      <c r="R46" s="1319"/>
    </row>
    <row r="47" spans="3:35" ht="13.5" thickBot="1">
      <c r="C47" s="1321" t="s">
        <v>1152</v>
      </c>
      <c r="D47" s="1321"/>
      <c r="E47" s="1321"/>
      <c r="F47" s="1321"/>
      <c r="G47" s="1321"/>
      <c r="H47" s="1321"/>
      <c r="I47" s="1321"/>
      <c r="J47" s="1321"/>
      <c r="K47" s="1321"/>
      <c r="L47" s="1321"/>
      <c r="M47" s="1317">
        <f>+M45-M46</f>
        <v>0</v>
      </c>
      <c r="N47" s="1317"/>
      <c r="O47" s="1317"/>
      <c r="P47" s="1317"/>
      <c r="Q47" s="1317"/>
      <c r="R47" s="1317"/>
    </row>
    <row r="48" spans="3:35" ht="13.5" thickTop="1"/>
    <row r="50" spans="5:30">
      <c r="M50" s="564"/>
      <c r="N50" s="564"/>
      <c r="O50" s="564"/>
      <c r="P50" s="564"/>
      <c r="Q50" s="564"/>
      <c r="R50" s="564"/>
    </row>
    <row r="51" spans="5:30">
      <c r="E51" s="565"/>
      <c r="F51" s="565"/>
      <c r="G51" s="565"/>
      <c r="H51" s="565"/>
      <c r="I51" s="565"/>
      <c r="J51" s="565"/>
      <c r="K51" s="565"/>
      <c r="L51" s="565"/>
      <c r="M51" s="565"/>
      <c r="N51" s="565"/>
      <c r="U51" s="565"/>
      <c r="V51" s="565"/>
      <c r="W51" s="565"/>
      <c r="X51" s="565"/>
      <c r="Y51" s="565"/>
      <c r="Z51" s="565"/>
      <c r="AA51" s="565"/>
      <c r="AB51" s="565"/>
      <c r="AC51" s="565"/>
      <c r="AD51" s="565"/>
    </row>
  </sheetData>
  <sheetProtection algorithmName="SHA-512" hashValue="/Trk8/N2Csmcierwd6NAwXZKTOq1S20wFLQgckz5kqk897mG/ih4YSvw6Y1aIjdYL1uC2NHA3yE5jP8LghQuQA==" saltValue="zsOnIINp4/AsmNnCGLVSkA==" spinCount="100000" sheet="1" objects="1" scenarios="1" selectLockedCells="1"/>
  <mergeCells count="100">
    <mergeCell ref="AB4:AD5"/>
    <mergeCell ref="H4:Y5"/>
    <mergeCell ref="Z4:AA5"/>
    <mergeCell ref="B2:H2"/>
    <mergeCell ref="J2:P2"/>
    <mergeCell ref="R2:X2"/>
    <mergeCell ref="Z2:AF2"/>
    <mergeCell ref="E3:K3"/>
    <mergeCell ref="L13:Q13"/>
    <mergeCell ref="L15:Q15"/>
    <mergeCell ref="B9:K9"/>
    <mergeCell ref="B10:K10"/>
    <mergeCell ref="B11:K11"/>
    <mergeCell ref="B12:K12"/>
    <mergeCell ref="B15:K15"/>
    <mergeCell ref="L9:Q9"/>
    <mergeCell ref="L10:Q10"/>
    <mergeCell ref="L11:Q11"/>
    <mergeCell ref="L12:Q12"/>
    <mergeCell ref="B16:K16"/>
    <mergeCell ref="B17:K17"/>
    <mergeCell ref="B18:K18"/>
    <mergeCell ref="L18:Q18"/>
    <mergeCell ref="L16:Q16"/>
    <mergeCell ref="L17:Q17"/>
    <mergeCell ref="T9:AC12"/>
    <mergeCell ref="AD9:AI12"/>
    <mergeCell ref="T13:AC13"/>
    <mergeCell ref="AD13:AI13"/>
    <mergeCell ref="T16:AC16"/>
    <mergeCell ref="H23:Y24"/>
    <mergeCell ref="Z23:AA24"/>
    <mergeCell ref="AB23:AD24"/>
    <mergeCell ref="B20:K20"/>
    <mergeCell ref="L20:Q20"/>
    <mergeCell ref="AD18:AI18"/>
    <mergeCell ref="T20:AC20"/>
    <mergeCell ref="AD20:AI20"/>
    <mergeCell ref="AD16:AI16"/>
    <mergeCell ref="AD17:AI17"/>
    <mergeCell ref="T17:AC17"/>
    <mergeCell ref="T18:AC18"/>
    <mergeCell ref="M32:R32"/>
    <mergeCell ref="C27:L27"/>
    <mergeCell ref="C28:L28"/>
    <mergeCell ref="C29:L29"/>
    <mergeCell ref="C30:L30"/>
    <mergeCell ref="C31:L31"/>
    <mergeCell ref="C32:L32"/>
    <mergeCell ref="M27:R27"/>
    <mergeCell ref="M28:R28"/>
    <mergeCell ref="M29:R29"/>
    <mergeCell ref="M30:R30"/>
    <mergeCell ref="M31:R31"/>
    <mergeCell ref="M39:R39"/>
    <mergeCell ref="C42:L42"/>
    <mergeCell ref="C44:L44"/>
    <mergeCell ref="C45:L45"/>
    <mergeCell ref="C46:L46"/>
    <mergeCell ref="C47:L47"/>
    <mergeCell ref="M47:R47"/>
    <mergeCell ref="AD28:AI28"/>
    <mergeCell ref="U28:AC28"/>
    <mergeCell ref="U29:AC29"/>
    <mergeCell ref="U30:AC30"/>
    <mergeCell ref="U32:AC32"/>
    <mergeCell ref="U33:AC33"/>
    <mergeCell ref="U34:AC34"/>
    <mergeCell ref="M42:R42"/>
    <mergeCell ref="M44:R44"/>
    <mergeCell ref="M45:R45"/>
    <mergeCell ref="M46:R46"/>
    <mergeCell ref="C43:L43"/>
    <mergeCell ref="M43:R43"/>
    <mergeCell ref="C39:L39"/>
    <mergeCell ref="C37:L37"/>
    <mergeCell ref="M37:R37"/>
    <mergeCell ref="C38:L38"/>
    <mergeCell ref="M38:R38"/>
    <mergeCell ref="AD29:AI29"/>
    <mergeCell ref="AD30:AI30"/>
    <mergeCell ref="AD32:AI32"/>
    <mergeCell ref="AD33:AI33"/>
    <mergeCell ref="M33:R33"/>
    <mergeCell ref="M34:R34"/>
    <mergeCell ref="M35:R35"/>
    <mergeCell ref="M36:R36"/>
    <mergeCell ref="C33:L33"/>
    <mergeCell ref="C34:L34"/>
    <mergeCell ref="C35:L35"/>
    <mergeCell ref="C36:L36"/>
    <mergeCell ref="U38:AC44"/>
    <mergeCell ref="AD38:AI44"/>
    <mergeCell ref="U31:AC31"/>
    <mergeCell ref="AD31:AI31"/>
    <mergeCell ref="AD34:AI34"/>
    <mergeCell ref="U35:AC35"/>
    <mergeCell ref="T36:AC36"/>
    <mergeCell ref="AD36:AI36"/>
    <mergeCell ref="AD35:AI35"/>
  </mergeCells>
  <printOptions horizontalCentered="1"/>
  <pageMargins left="0.39370078740157483" right="0.39370078740157483" top="0.59055118110236227" bottom="0.59055118110236227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31"/>
  <sheetViews>
    <sheetView zoomScale="170" zoomScaleNormal="170" workbookViewId="0">
      <selection activeCell="C9" sqref="C9"/>
    </sheetView>
  </sheetViews>
  <sheetFormatPr baseColWidth="10" defaultColWidth="0" defaultRowHeight="12.75" customHeight="1" zeroHeight="1"/>
  <cols>
    <col min="1" max="1" width="15.7109375" customWidth="1"/>
    <col min="2" max="10" width="8.7109375" customWidth="1"/>
    <col min="11" max="16384" width="11.42578125" hidden="1"/>
  </cols>
  <sheetData>
    <row r="1" spans="1:10">
      <c r="A1" s="287"/>
      <c r="B1" s="287"/>
      <c r="C1" s="287"/>
      <c r="D1" s="287"/>
      <c r="E1" s="287"/>
      <c r="F1" s="287"/>
      <c r="G1" s="287"/>
      <c r="H1" s="287"/>
      <c r="I1" s="287"/>
      <c r="J1" s="287"/>
    </row>
    <row r="2" spans="1:10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0" s="546" customFormat="1">
      <c r="A3" s="287"/>
      <c r="J3" s="547"/>
    </row>
    <row r="4" spans="1:10" s="546" customFormat="1">
      <c r="A4" s="287"/>
      <c r="E4" s="605" t="s">
        <v>761</v>
      </c>
      <c r="F4" s="606"/>
      <c r="G4" s="606"/>
      <c r="H4" s="606"/>
      <c r="I4" s="606"/>
      <c r="J4" s="606"/>
    </row>
    <row r="5" spans="1:10" s="546" customFormat="1">
      <c r="A5" s="287"/>
      <c r="E5" s="606"/>
      <c r="F5" s="606"/>
      <c r="G5" s="606"/>
      <c r="H5" s="606"/>
      <c r="I5" s="606"/>
      <c r="J5" s="606"/>
    </row>
    <row r="6" spans="1:10" s="546" customFormat="1">
      <c r="A6" s="287"/>
      <c r="E6" s="605" t="s">
        <v>1170</v>
      </c>
      <c r="F6" s="606"/>
      <c r="G6" s="606"/>
      <c r="H6" s="606"/>
      <c r="I6" s="606"/>
      <c r="J6" s="606"/>
    </row>
    <row r="7" spans="1:10" s="546" customFormat="1">
      <c r="A7" s="287"/>
      <c r="E7" s="606"/>
      <c r="F7" s="606"/>
      <c r="G7" s="606"/>
      <c r="H7" s="606"/>
      <c r="I7" s="606"/>
      <c r="J7" s="606"/>
    </row>
    <row r="8" spans="1:10" s="546" customFormat="1" ht="6" customHeight="1">
      <c r="A8" s="287"/>
    </row>
    <row r="9" spans="1:10" s="546" customFormat="1" ht="12.75" customHeight="1">
      <c r="A9" s="287"/>
      <c r="E9" s="605" t="s">
        <v>1036</v>
      </c>
      <c r="F9" s="605"/>
      <c r="G9" s="605"/>
      <c r="H9" s="605"/>
      <c r="I9" s="605"/>
      <c r="J9" s="605"/>
    </row>
    <row r="10" spans="1:10" s="546" customFormat="1">
      <c r="A10" s="287"/>
      <c r="E10" s="605"/>
      <c r="F10" s="605"/>
      <c r="G10" s="605"/>
      <c r="H10" s="605"/>
      <c r="I10" s="605"/>
      <c r="J10" s="605"/>
    </row>
    <row r="11" spans="1:10" s="546" customFormat="1">
      <c r="A11" s="287"/>
      <c r="E11" s="605"/>
      <c r="F11" s="605"/>
      <c r="G11" s="605"/>
      <c r="H11" s="605"/>
      <c r="I11" s="605"/>
      <c r="J11" s="605"/>
    </row>
    <row r="12" spans="1:10" s="546" customFormat="1" ht="6" customHeight="1">
      <c r="A12" s="287"/>
    </row>
    <row r="13" spans="1:10" s="546" customFormat="1">
      <c r="A13" s="287"/>
      <c r="E13" s="605" t="s">
        <v>762</v>
      </c>
      <c r="F13" s="606"/>
      <c r="G13" s="606"/>
      <c r="H13" s="606"/>
      <c r="I13" s="606"/>
      <c r="J13" s="606"/>
    </row>
    <row r="14" spans="1:10" s="546" customFormat="1">
      <c r="A14" s="287"/>
      <c r="E14" s="606"/>
      <c r="F14" s="606"/>
      <c r="G14" s="606"/>
      <c r="H14" s="606"/>
      <c r="I14" s="606"/>
      <c r="J14" s="606"/>
    </row>
    <row r="15" spans="1:10" s="546" customFormat="1" ht="6" customHeight="1">
      <c r="A15" s="287"/>
    </row>
    <row r="16" spans="1:10" s="546" customFormat="1">
      <c r="A16" s="287"/>
      <c r="E16" s="605" t="s">
        <v>763</v>
      </c>
      <c r="F16" s="606"/>
      <c r="G16" s="606"/>
      <c r="H16" s="606"/>
      <c r="I16" s="606"/>
      <c r="J16" s="606"/>
    </row>
    <row r="17" spans="1:10" s="546" customFormat="1">
      <c r="A17" s="287"/>
      <c r="E17" s="606"/>
      <c r="F17" s="606"/>
      <c r="G17" s="606"/>
      <c r="H17" s="606"/>
      <c r="I17" s="606"/>
      <c r="J17" s="606"/>
    </row>
    <row r="18" spans="1:10" s="546" customFormat="1" ht="6" customHeight="1">
      <c r="A18" s="287"/>
    </row>
    <row r="19" spans="1:10" s="607" customFormat="1" ht="12.75" customHeight="1">
      <c r="A19" s="287"/>
      <c r="B19" s="546"/>
      <c r="C19" s="607" t="s">
        <v>765</v>
      </c>
    </row>
    <row r="20" spans="1:10" s="607" customFormat="1">
      <c r="A20" s="287"/>
      <c r="B20" s="546"/>
    </row>
    <row r="21" spans="1:10" s="607" customFormat="1">
      <c r="A21" s="287"/>
      <c r="B21" s="546"/>
    </row>
    <row r="22" spans="1:10" s="548" customFormat="1" ht="5.25" customHeight="1">
      <c r="A22" s="287"/>
      <c r="B22" s="546"/>
    </row>
    <row r="23" spans="1:10" s="605" customFormat="1" ht="12" customHeight="1">
      <c r="A23" s="287"/>
      <c r="B23" s="546"/>
      <c r="C23" s="605" t="s">
        <v>1111</v>
      </c>
    </row>
    <row r="24" spans="1:10" s="605" customFormat="1">
      <c r="A24" s="287"/>
      <c r="B24" s="546"/>
    </row>
    <row r="25" spans="1:10" s="546" customFormat="1" ht="6" customHeight="1">
      <c r="A25" s="287"/>
    </row>
    <row r="26" spans="1:10" s="605" customFormat="1">
      <c r="A26" s="287"/>
      <c r="B26" s="546"/>
      <c r="C26" s="605" t="s">
        <v>764</v>
      </c>
    </row>
    <row r="27" spans="1:10" s="605" customFormat="1">
      <c r="A27" s="287"/>
      <c r="B27" s="546"/>
    </row>
    <row r="28" spans="1:10" s="546" customFormat="1">
      <c r="A28" s="287"/>
      <c r="F28" s="549" t="s">
        <v>1200</v>
      </c>
    </row>
    <row r="29" spans="1:10" s="546" customFormat="1">
      <c r="A29" s="287"/>
    </row>
    <row r="30" spans="1:10" ht="12.75" customHeight="1">
      <c r="A30" s="287"/>
      <c r="B30" s="287"/>
      <c r="C30" s="287"/>
      <c r="D30" s="287"/>
      <c r="E30" s="287"/>
      <c r="F30" s="287"/>
      <c r="G30" s="287"/>
      <c r="H30" s="287"/>
      <c r="I30" s="287"/>
      <c r="J30" s="287"/>
    </row>
    <row r="31" spans="1:10" ht="12.75" customHeight="1">
      <c r="A31" s="287"/>
      <c r="B31" s="287"/>
      <c r="C31" s="287"/>
      <c r="D31" s="287"/>
      <c r="E31" s="287"/>
      <c r="F31" s="287"/>
      <c r="G31" s="287"/>
      <c r="H31" s="287"/>
      <c r="I31" s="287"/>
      <c r="J31" s="287"/>
    </row>
  </sheetData>
  <sheetProtection algorithmName="SHA-512" hashValue="jEMR/R/Dq48ipj4zoAGqBQFRIg4AEcKLIVBWSrGWRKT0VZTX4oM3wTOPZnyHxGruQ/Tj+Ch4MTRxxO6i385TFg==" saltValue="nvacm5dZXb2AERbc6Uaopg==" spinCount="100000" sheet="1" objects="1" scenarios="1" selectLockedCells="1"/>
  <mergeCells count="8">
    <mergeCell ref="C23:XFD24"/>
    <mergeCell ref="C26:XFD27"/>
    <mergeCell ref="E4:J5"/>
    <mergeCell ref="E6:J7"/>
    <mergeCell ref="E9:J11"/>
    <mergeCell ref="E13:J14"/>
    <mergeCell ref="E16:J17"/>
    <mergeCell ref="C19:XFD21"/>
  </mergeCells>
  <hyperlinks>
    <hyperlink ref="F28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541"/>
  <sheetViews>
    <sheetView showGridLines="0" zoomScale="150" zoomScaleNormal="150" workbookViewId="0">
      <pane ySplit="11" topLeftCell="A12" activePane="bottomLeft" state="frozen"/>
      <selection pane="bottomLeft" activeCell="C7" sqref="C7:C9"/>
    </sheetView>
  </sheetViews>
  <sheetFormatPr baseColWidth="10" defaultRowHeight="12.75"/>
  <cols>
    <col min="1" max="1" width="1.7109375" customWidth="1"/>
    <col min="2" max="2" width="97.42578125" customWidth="1"/>
    <col min="3" max="3" width="7.7109375" customWidth="1"/>
    <col min="4" max="4" width="1.7109375" customWidth="1"/>
    <col min="5" max="6" width="20.28515625" customWidth="1"/>
    <col min="7" max="7" width="6.5703125" customWidth="1"/>
    <col min="8" max="8" width="3" customWidth="1"/>
  </cols>
  <sheetData>
    <row r="1" spans="1:8" ht="15">
      <c r="A1" s="351"/>
      <c r="B1" s="569" t="s">
        <v>1171</v>
      </c>
      <c r="C1" s="351"/>
      <c r="D1" s="351"/>
      <c r="E1" s="351"/>
      <c r="F1" s="351"/>
      <c r="G1" s="351"/>
      <c r="H1" s="351"/>
    </row>
    <row r="2" spans="1:8" ht="15">
      <c r="A2" s="351"/>
      <c r="B2" s="569" t="s">
        <v>1172</v>
      </c>
      <c r="C2" s="352"/>
      <c r="D2" s="352"/>
      <c r="E2" s="352"/>
      <c r="F2" s="352"/>
      <c r="G2" s="351"/>
      <c r="H2" s="351"/>
    </row>
    <row r="3" spans="1:8" ht="15">
      <c r="A3" s="351"/>
      <c r="B3" s="569" t="s">
        <v>1173</v>
      </c>
      <c r="C3" s="352"/>
      <c r="D3" s="352"/>
      <c r="E3" s="352"/>
      <c r="F3" s="352"/>
      <c r="G3" s="351"/>
      <c r="H3" s="351"/>
    </row>
    <row r="4" spans="1:8" ht="15.75">
      <c r="A4" s="351"/>
      <c r="B4" s="570" t="s">
        <v>1174</v>
      </c>
      <c r="C4" s="353"/>
      <c r="D4" s="353"/>
      <c r="E4" s="353"/>
      <c r="F4" s="353"/>
      <c r="G4" s="354"/>
      <c r="H4" s="351"/>
    </row>
    <row r="5" spans="1:8" ht="15.75" thickBot="1">
      <c r="A5" s="351"/>
      <c r="B5" s="571" t="s">
        <v>284</v>
      </c>
      <c r="C5" s="353"/>
      <c r="D5" s="353"/>
      <c r="E5" s="353"/>
      <c r="F5" s="353"/>
      <c r="G5" s="351"/>
      <c r="H5" s="351"/>
    </row>
    <row r="6" spans="1:8" ht="18" customHeight="1" thickTop="1" thickBot="1">
      <c r="A6" s="288"/>
      <c r="B6" s="617"/>
      <c r="C6" s="288"/>
      <c r="D6" s="288"/>
      <c r="E6" s="288"/>
      <c r="F6" s="288"/>
      <c r="G6" s="288"/>
      <c r="H6" s="288"/>
    </row>
    <row r="7" spans="1:8" ht="18" customHeight="1">
      <c r="A7" s="288"/>
      <c r="B7" s="618"/>
      <c r="C7" s="621">
        <v>20</v>
      </c>
      <c r="D7" s="288"/>
      <c r="E7" s="608" t="str">
        <f>VLOOKUP(C7,A12:B518,2,FALSE)</f>
        <v>0020 Pensionados.</v>
      </c>
      <c r="F7" s="609"/>
      <c r="G7" s="610"/>
      <c r="H7" s="288"/>
    </row>
    <row r="8" spans="1:8" ht="18" customHeight="1">
      <c r="A8" s="288"/>
      <c r="B8" s="618"/>
      <c r="C8" s="622"/>
      <c r="D8" s="288"/>
      <c r="E8" s="611"/>
      <c r="F8" s="612"/>
      <c r="G8" s="613"/>
      <c r="H8" s="288"/>
    </row>
    <row r="9" spans="1:8" ht="18" customHeight="1" thickBot="1">
      <c r="A9" s="288"/>
      <c r="B9" s="618"/>
      <c r="C9" s="623"/>
      <c r="D9" s="288"/>
      <c r="E9" s="611"/>
      <c r="F9" s="612"/>
      <c r="G9" s="613"/>
      <c r="H9" s="288"/>
    </row>
    <row r="10" spans="1:8" ht="18" customHeight="1" thickBot="1">
      <c r="A10" s="288"/>
      <c r="B10" s="619"/>
      <c r="C10" s="288"/>
      <c r="D10" s="288"/>
      <c r="E10" s="614"/>
      <c r="F10" s="615"/>
      <c r="G10" s="616"/>
      <c r="H10" s="288"/>
    </row>
    <row r="11" spans="1:8" ht="18" customHeight="1" thickBot="1">
      <c r="A11" s="288"/>
      <c r="B11" s="620"/>
      <c r="C11" s="288"/>
      <c r="D11" s="288"/>
      <c r="E11" s="288"/>
      <c r="F11" s="288"/>
      <c r="G11" s="288"/>
      <c r="H11" s="288"/>
    </row>
    <row r="12" spans="1:8" ht="13.5" thickTop="1">
      <c r="A12" s="289">
        <v>111</v>
      </c>
      <c r="B12" s="290" t="s">
        <v>285</v>
      </c>
      <c r="C12" s="290"/>
      <c r="D12" s="290"/>
      <c r="E12" s="290"/>
      <c r="F12" s="290"/>
    </row>
    <row r="13" spans="1:8">
      <c r="A13" s="289">
        <v>112</v>
      </c>
      <c r="B13" t="s">
        <v>286</v>
      </c>
    </row>
    <row r="14" spans="1:8">
      <c r="A14" s="289">
        <v>113</v>
      </c>
      <c r="B14" t="s">
        <v>287</v>
      </c>
    </row>
    <row r="15" spans="1:8">
      <c r="A15" s="289">
        <v>114</v>
      </c>
      <c r="B15" t="s">
        <v>288</v>
      </c>
    </row>
    <row r="16" spans="1:8">
      <c r="A16" s="289">
        <v>115</v>
      </c>
      <c r="B16" t="s">
        <v>289</v>
      </c>
    </row>
    <row r="17" spans="1:6">
      <c r="A17" s="289">
        <v>119</v>
      </c>
      <c r="B17" t="s">
        <v>290</v>
      </c>
    </row>
    <row r="18" spans="1:6">
      <c r="A18" s="289">
        <v>121</v>
      </c>
      <c r="B18" t="s">
        <v>291</v>
      </c>
    </row>
    <row r="19" spans="1:6">
      <c r="A19" s="289">
        <v>122</v>
      </c>
      <c r="B19" t="s">
        <v>292</v>
      </c>
    </row>
    <row r="20" spans="1:6">
      <c r="A20" s="289">
        <v>123</v>
      </c>
      <c r="B20" t="s">
        <v>293</v>
      </c>
    </row>
    <row r="21" spans="1:6">
      <c r="A21" s="291">
        <v>124</v>
      </c>
      <c r="B21" t="s">
        <v>294</v>
      </c>
    </row>
    <row r="22" spans="1:6">
      <c r="A22" s="291">
        <v>125</v>
      </c>
      <c r="B22" t="s">
        <v>295</v>
      </c>
    </row>
    <row r="23" spans="1:6">
      <c r="A23" s="291">
        <v>126</v>
      </c>
      <c r="B23" t="s">
        <v>296</v>
      </c>
    </row>
    <row r="24" spans="1:6">
      <c r="A24" s="291">
        <v>127</v>
      </c>
      <c r="B24" t="s">
        <v>297</v>
      </c>
    </row>
    <row r="25" spans="1:6">
      <c r="A25" s="291">
        <v>128</v>
      </c>
      <c r="B25" t="s">
        <v>298</v>
      </c>
    </row>
    <row r="26" spans="1:6">
      <c r="A26" s="291">
        <v>129</v>
      </c>
      <c r="B26" t="s">
        <v>299</v>
      </c>
    </row>
    <row r="27" spans="1:6">
      <c r="A27" s="291">
        <v>130</v>
      </c>
      <c r="B27" s="290" t="s">
        <v>300</v>
      </c>
      <c r="C27" s="290"/>
      <c r="D27" s="290"/>
      <c r="E27" s="290"/>
      <c r="F27" s="290"/>
    </row>
    <row r="28" spans="1:6">
      <c r="A28" s="291">
        <v>141</v>
      </c>
      <c r="B28" t="s">
        <v>301</v>
      </c>
    </row>
    <row r="29" spans="1:6">
      <c r="A29" s="291">
        <v>142</v>
      </c>
      <c r="B29" t="s">
        <v>302</v>
      </c>
    </row>
    <row r="30" spans="1:6">
      <c r="A30" s="291">
        <v>143</v>
      </c>
      <c r="B30" t="s">
        <v>303</v>
      </c>
    </row>
    <row r="31" spans="1:6">
      <c r="A31" s="291">
        <v>144</v>
      </c>
      <c r="B31" t="s">
        <v>304</v>
      </c>
    </row>
    <row r="32" spans="1:6">
      <c r="A32" s="291">
        <v>145</v>
      </c>
      <c r="B32" t="s">
        <v>305</v>
      </c>
    </row>
    <row r="33" spans="1:2">
      <c r="A33" s="291">
        <v>149</v>
      </c>
      <c r="B33" t="s">
        <v>306</v>
      </c>
    </row>
    <row r="34" spans="1:2">
      <c r="A34" s="291">
        <v>150</v>
      </c>
      <c r="B34" t="s">
        <v>307</v>
      </c>
    </row>
    <row r="35" spans="1:2">
      <c r="A35" s="291">
        <v>161</v>
      </c>
      <c r="B35" t="s">
        <v>308</v>
      </c>
    </row>
    <row r="36" spans="1:2">
      <c r="A36" s="291">
        <v>162</v>
      </c>
      <c r="B36" t="s">
        <v>309</v>
      </c>
    </row>
    <row r="37" spans="1:2">
      <c r="A37" s="291">
        <v>163</v>
      </c>
      <c r="B37" t="s">
        <v>310</v>
      </c>
    </row>
    <row r="38" spans="1:2">
      <c r="A38" s="291">
        <v>164</v>
      </c>
      <c r="B38" t="s">
        <v>311</v>
      </c>
    </row>
    <row r="39" spans="1:2">
      <c r="A39" s="291">
        <v>170</v>
      </c>
      <c r="B39" t="s">
        <v>312</v>
      </c>
    </row>
    <row r="40" spans="1:2">
      <c r="A40" s="291">
        <v>210</v>
      </c>
      <c r="B40" t="s">
        <v>313</v>
      </c>
    </row>
    <row r="41" spans="1:2">
      <c r="A41" s="291">
        <v>220</v>
      </c>
      <c r="B41" t="s">
        <v>314</v>
      </c>
    </row>
    <row r="42" spans="1:2">
      <c r="A42" s="291">
        <v>230</v>
      </c>
      <c r="B42" t="s">
        <v>315</v>
      </c>
    </row>
    <row r="43" spans="1:2">
      <c r="A43" s="291">
        <v>240</v>
      </c>
      <c r="B43" t="s">
        <v>316</v>
      </c>
    </row>
    <row r="44" spans="1:2">
      <c r="A44" s="291">
        <v>311</v>
      </c>
      <c r="B44" t="s">
        <v>317</v>
      </c>
    </row>
    <row r="45" spans="1:2">
      <c r="A45" s="291">
        <v>312</v>
      </c>
      <c r="B45" t="s">
        <v>318</v>
      </c>
    </row>
    <row r="46" spans="1:2">
      <c r="A46" s="291">
        <v>321</v>
      </c>
      <c r="B46" t="s">
        <v>319</v>
      </c>
    </row>
    <row r="47" spans="1:2">
      <c r="A47" s="291">
        <v>322</v>
      </c>
      <c r="B47" t="s">
        <v>320</v>
      </c>
    </row>
    <row r="48" spans="1:2">
      <c r="A48" s="291">
        <v>510</v>
      </c>
      <c r="B48" t="s">
        <v>321</v>
      </c>
    </row>
    <row r="49" spans="1:6">
      <c r="A49" s="291">
        <v>520</v>
      </c>
      <c r="B49" t="s">
        <v>322</v>
      </c>
    </row>
    <row r="50" spans="1:6">
      <c r="A50" s="291">
        <v>610</v>
      </c>
      <c r="B50" t="s">
        <v>323</v>
      </c>
    </row>
    <row r="51" spans="1:6">
      <c r="A51" s="291">
        <v>620</v>
      </c>
      <c r="B51" t="s">
        <v>324</v>
      </c>
    </row>
    <row r="52" spans="1:6">
      <c r="A52" s="291">
        <v>710</v>
      </c>
      <c r="B52" t="s">
        <v>325</v>
      </c>
    </row>
    <row r="53" spans="1:6">
      <c r="A53" s="291">
        <v>721</v>
      </c>
      <c r="B53" t="s">
        <v>326</v>
      </c>
    </row>
    <row r="54" spans="1:6">
      <c r="A54" s="291">
        <v>722</v>
      </c>
      <c r="B54" t="s">
        <v>327</v>
      </c>
    </row>
    <row r="55" spans="1:6">
      <c r="A55" s="291">
        <v>723</v>
      </c>
      <c r="B55" t="s">
        <v>328</v>
      </c>
    </row>
    <row r="56" spans="1:6">
      <c r="A56" s="291">
        <v>729</v>
      </c>
      <c r="B56" t="s">
        <v>329</v>
      </c>
    </row>
    <row r="57" spans="1:6">
      <c r="A57" s="291">
        <v>811</v>
      </c>
      <c r="B57" t="s">
        <v>330</v>
      </c>
    </row>
    <row r="58" spans="1:6">
      <c r="A58" s="291">
        <v>812</v>
      </c>
      <c r="B58" t="s">
        <v>331</v>
      </c>
    </row>
    <row r="59" spans="1:6">
      <c r="A59" s="291">
        <v>820</v>
      </c>
      <c r="B59" t="s">
        <v>332</v>
      </c>
    </row>
    <row r="60" spans="1:6">
      <c r="A60" s="291">
        <v>891</v>
      </c>
      <c r="B60" t="s">
        <v>333</v>
      </c>
    </row>
    <row r="61" spans="1:6">
      <c r="A61" s="291">
        <v>892</v>
      </c>
      <c r="B61" t="s">
        <v>334</v>
      </c>
    </row>
    <row r="62" spans="1:6">
      <c r="A62" s="291">
        <v>899</v>
      </c>
      <c r="B62" t="s">
        <v>335</v>
      </c>
    </row>
    <row r="63" spans="1:6">
      <c r="A63" s="291">
        <v>910</v>
      </c>
      <c r="B63" t="s">
        <v>336</v>
      </c>
    </row>
    <row r="64" spans="1:6">
      <c r="A64" s="291">
        <v>990</v>
      </c>
      <c r="B64" s="290" t="s">
        <v>337</v>
      </c>
      <c r="C64" s="290"/>
      <c r="D64" s="290"/>
      <c r="E64" s="290"/>
      <c r="F64" s="290"/>
    </row>
    <row r="65" spans="1:2">
      <c r="A65" s="291">
        <v>1011</v>
      </c>
      <c r="B65" t="s">
        <v>338</v>
      </c>
    </row>
    <row r="66" spans="1:2">
      <c r="A66" s="291">
        <v>1012</v>
      </c>
      <c r="B66" t="s">
        <v>339</v>
      </c>
    </row>
    <row r="67" spans="1:2">
      <c r="A67" s="291">
        <v>1020</v>
      </c>
      <c r="B67" t="s">
        <v>340</v>
      </c>
    </row>
    <row r="68" spans="1:2">
      <c r="A68" s="291">
        <v>1031</v>
      </c>
      <c r="B68" s="290" t="s">
        <v>999</v>
      </c>
    </row>
    <row r="69" spans="1:2">
      <c r="A69" s="291">
        <v>1032</v>
      </c>
      <c r="B69" s="290" t="s">
        <v>1000</v>
      </c>
    </row>
    <row r="70" spans="1:2">
      <c r="A70" s="291">
        <v>1033</v>
      </c>
      <c r="B70" s="290" t="s">
        <v>1001</v>
      </c>
    </row>
    <row r="71" spans="1:2">
      <c r="A71" s="291">
        <v>1040</v>
      </c>
      <c r="B71" t="s">
        <v>341</v>
      </c>
    </row>
    <row r="72" spans="1:2">
      <c r="A72" s="291">
        <v>1051</v>
      </c>
      <c r="B72" t="s">
        <v>342</v>
      </c>
    </row>
    <row r="73" spans="1:2">
      <c r="A73" s="291">
        <v>1052</v>
      </c>
      <c r="B73" t="s">
        <v>343</v>
      </c>
    </row>
    <row r="74" spans="1:2">
      <c r="A74" s="291">
        <v>1061</v>
      </c>
      <c r="B74" t="s">
        <v>344</v>
      </c>
    </row>
    <row r="75" spans="1:2">
      <c r="A75" s="291">
        <v>1062</v>
      </c>
      <c r="B75" t="s">
        <v>345</v>
      </c>
    </row>
    <row r="76" spans="1:2">
      <c r="A76" s="291">
        <v>1063</v>
      </c>
      <c r="B76" t="s">
        <v>346</v>
      </c>
    </row>
    <row r="77" spans="1:2">
      <c r="A77" s="291">
        <v>1071</v>
      </c>
      <c r="B77" t="s">
        <v>347</v>
      </c>
    </row>
    <row r="78" spans="1:2">
      <c r="A78" s="291">
        <v>1072</v>
      </c>
      <c r="B78" t="s">
        <v>348</v>
      </c>
    </row>
    <row r="79" spans="1:2">
      <c r="A79" s="291">
        <v>1081</v>
      </c>
      <c r="B79" t="s">
        <v>349</v>
      </c>
    </row>
    <row r="80" spans="1:2">
      <c r="A80" s="291">
        <v>1082</v>
      </c>
      <c r="B80" t="s">
        <v>350</v>
      </c>
    </row>
    <row r="81" spans="1:6">
      <c r="A81" s="291">
        <v>1083</v>
      </c>
      <c r="B81" t="s">
        <v>351</v>
      </c>
    </row>
    <row r="82" spans="1:6">
      <c r="A82" s="291">
        <v>1084</v>
      </c>
      <c r="B82" t="s">
        <v>352</v>
      </c>
    </row>
    <row r="83" spans="1:6">
      <c r="A83" s="291">
        <v>1089</v>
      </c>
      <c r="B83" t="s">
        <v>353</v>
      </c>
    </row>
    <row r="84" spans="1:6">
      <c r="A84" s="291">
        <v>1090</v>
      </c>
      <c r="B84" t="s">
        <v>354</v>
      </c>
    </row>
    <row r="85" spans="1:6">
      <c r="A85" s="291">
        <v>1101</v>
      </c>
      <c r="B85" t="s">
        <v>355</v>
      </c>
    </row>
    <row r="86" spans="1:6">
      <c r="A86" s="291">
        <v>1102</v>
      </c>
      <c r="B86" t="s">
        <v>356</v>
      </c>
    </row>
    <row r="87" spans="1:6">
      <c r="A87" s="291">
        <v>1103</v>
      </c>
      <c r="B87" t="s">
        <v>357</v>
      </c>
    </row>
    <row r="88" spans="1:6">
      <c r="A88" s="291">
        <v>1104</v>
      </c>
      <c r="B88" s="290" t="s">
        <v>358</v>
      </c>
      <c r="C88" s="290"/>
      <c r="D88" s="290"/>
      <c r="E88" s="290"/>
      <c r="F88" s="290"/>
    </row>
    <row r="89" spans="1:6">
      <c r="A89" s="291">
        <v>1200</v>
      </c>
      <c r="B89" t="s">
        <v>359</v>
      </c>
    </row>
    <row r="90" spans="1:6">
      <c r="A90" s="291">
        <v>1311</v>
      </c>
      <c r="B90" t="s">
        <v>360</v>
      </c>
    </row>
    <row r="91" spans="1:6">
      <c r="A91" s="291">
        <v>1312</v>
      </c>
      <c r="B91" t="s">
        <v>361</v>
      </c>
    </row>
    <row r="92" spans="1:6">
      <c r="A92" s="291">
        <v>1313</v>
      </c>
      <c r="B92" t="s">
        <v>362</v>
      </c>
    </row>
    <row r="93" spans="1:6">
      <c r="A93" s="291">
        <v>1391</v>
      </c>
      <c r="B93" t="s">
        <v>363</v>
      </c>
    </row>
    <row r="94" spans="1:6">
      <c r="A94" s="291">
        <v>1392</v>
      </c>
      <c r="B94" t="s">
        <v>364</v>
      </c>
    </row>
    <row r="95" spans="1:6">
      <c r="A95" s="291">
        <v>1393</v>
      </c>
      <c r="B95" t="s">
        <v>365</v>
      </c>
    </row>
    <row r="96" spans="1:6">
      <c r="A96" s="291">
        <v>1394</v>
      </c>
      <c r="B96" t="s">
        <v>366</v>
      </c>
    </row>
    <row r="97" spans="1:6">
      <c r="A97" s="291">
        <v>1399</v>
      </c>
      <c r="B97" t="s">
        <v>367</v>
      </c>
    </row>
    <row r="98" spans="1:6">
      <c r="A98" s="291">
        <v>1410</v>
      </c>
      <c r="B98" t="s">
        <v>368</v>
      </c>
    </row>
    <row r="99" spans="1:6">
      <c r="A99" s="291">
        <v>1420</v>
      </c>
      <c r="B99" t="s">
        <v>369</v>
      </c>
    </row>
    <row r="100" spans="1:6">
      <c r="A100" s="291">
        <v>1430</v>
      </c>
      <c r="B100" t="s">
        <v>370</v>
      </c>
    </row>
    <row r="101" spans="1:6">
      <c r="A101" s="291">
        <v>1511</v>
      </c>
      <c r="B101" t="s">
        <v>371</v>
      </c>
    </row>
    <row r="102" spans="1:6">
      <c r="A102" s="291">
        <v>1512</v>
      </c>
      <c r="B102" s="290" t="s">
        <v>372</v>
      </c>
      <c r="C102" s="290"/>
      <c r="D102" s="290"/>
      <c r="E102" s="290"/>
      <c r="F102" s="290"/>
    </row>
    <row r="103" spans="1:6">
      <c r="A103" s="291">
        <v>1513</v>
      </c>
      <c r="B103" s="290" t="s">
        <v>373</v>
      </c>
      <c r="C103" s="290"/>
      <c r="D103" s="290"/>
      <c r="E103" s="290"/>
      <c r="F103" s="290"/>
    </row>
    <row r="104" spans="1:6">
      <c r="A104" s="291">
        <v>1521</v>
      </c>
      <c r="B104" t="s">
        <v>374</v>
      </c>
    </row>
    <row r="105" spans="1:6">
      <c r="A105" s="291">
        <v>1522</v>
      </c>
      <c r="B105" t="s">
        <v>375</v>
      </c>
    </row>
    <row r="106" spans="1:6">
      <c r="A106" s="291">
        <v>1523</v>
      </c>
      <c r="B106" t="s">
        <v>376</v>
      </c>
    </row>
    <row r="107" spans="1:6">
      <c r="A107" s="291">
        <v>1610</v>
      </c>
      <c r="B107" t="s">
        <v>377</v>
      </c>
    </row>
    <row r="108" spans="1:6">
      <c r="A108" s="291">
        <v>1620</v>
      </c>
      <c r="B108" s="290" t="s">
        <v>378</v>
      </c>
      <c r="C108" s="290"/>
      <c r="D108" s="290"/>
      <c r="E108" s="290"/>
      <c r="F108" s="290"/>
    </row>
    <row r="109" spans="1:6">
      <c r="A109" s="291">
        <v>1630</v>
      </c>
      <c r="B109" s="290" t="s">
        <v>379</v>
      </c>
      <c r="C109" s="290"/>
      <c r="D109" s="290"/>
      <c r="E109" s="290"/>
      <c r="F109" s="290"/>
    </row>
    <row r="110" spans="1:6">
      <c r="A110" s="291">
        <v>1640</v>
      </c>
      <c r="B110" t="s">
        <v>380</v>
      </c>
    </row>
    <row r="111" spans="1:6">
      <c r="A111" s="291">
        <v>1690</v>
      </c>
      <c r="B111" s="290" t="s">
        <v>381</v>
      </c>
      <c r="C111" s="290"/>
      <c r="D111" s="290"/>
      <c r="E111" s="290"/>
      <c r="F111" s="290"/>
    </row>
    <row r="112" spans="1:6">
      <c r="A112" s="291">
        <v>1701</v>
      </c>
      <c r="B112" t="s">
        <v>382</v>
      </c>
    </row>
    <row r="113" spans="1:6">
      <c r="A113" s="291">
        <v>1702</v>
      </c>
      <c r="B113" s="290" t="s">
        <v>383</v>
      </c>
      <c r="C113" s="290"/>
      <c r="D113" s="290"/>
      <c r="E113" s="290"/>
      <c r="F113" s="290"/>
    </row>
    <row r="114" spans="1:6">
      <c r="A114" s="291">
        <v>1709</v>
      </c>
      <c r="B114" t="s">
        <v>384</v>
      </c>
    </row>
    <row r="115" spans="1:6">
      <c r="A115" s="291">
        <v>1811</v>
      </c>
      <c r="B115" t="s">
        <v>385</v>
      </c>
    </row>
    <row r="116" spans="1:6">
      <c r="A116" s="291">
        <v>1812</v>
      </c>
      <c r="B116" t="s">
        <v>386</v>
      </c>
    </row>
    <row r="117" spans="1:6">
      <c r="A117" s="291">
        <v>1820</v>
      </c>
      <c r="B117" t="s">
        <v>387</v>
      </c>
    </row>
    <row r="118" spans="1:6">
      <c r="A118" s="291">
        <v>1910</v>
      </c>
      <c r="B118" t="s">
        <v>388</v>
      </c>
    </row>
    <row r="119" spans="1:6">
      <c r="A119" s="291">
        <v>1921</v>
      </c>
      <c r="B119" t="s">
        <v>389</v>
      </c>
    </row>
    <row r="120" spans="1:6">
      <c r="A120" s="291">
        <v>1922</v>
      </c>
      <c r="B120" t="s">
        <v>390</v>
      </c>
    </row>
    <row r="121" spans="1:6">
      <c r="A121" s="291">
        <v>2011</v>
      </c>
      <c r="B121" t="s">
        <v>391</v>
      </c>
    </row>
    <row r="122" spans="1:6">
      <c r="A122" s="291">
        <v>2012</v>
      </c>
      <c r="B122" t="s">
        <v>392</v>
      </c>
    </row>
    <row r="123" spans="1:6">
      <c r="A123" s="291">
        <v>2013</v>
      </c>
      <c r="B123" t="s">
        <v>393</v>
      </c>
    </row>
    <row r="124" spans="1:6">
      <c r="A124" s="291">
        <v>2014</v>
      </c>
      <c r="B124" t="s">
        <v>394</v>
      </c>
    </row>
    <row r="125" spans="1:6">
      <c r="A125" s="291">
        <v>2021</v>
      </c>
      <c r="B125" t="s">
        <v>395</v>
      </c>
    </row>
    <row r="126" spans="1:6">
      <c r="A126" s="291">
        <v>2022</v>
      </c>
      <c r="B126" s="290" t="s">
        <v>396</v>
      </c>
      <c r="C126" s="290"/>
      <c r="D126" s="290"/>
      <c r="E126" s="290"/>
      <c r="F126" s="290"/>
    </row>
    <row r="127" spans="1:6">
      <c r="A127" s="291">
        <v>2023</v>
      </c>
      <c r="B127" s="290" t="s">
        <v>397</v>
      </c>
      <c r="C127" s="290"/>
      <c r="D127" s="290"/>
      <c r="E127" s="290"/>
      <c r="F127" s="290"/>
    </row>
    <row r="128" spans="1:6">
      <c r="A128" s="291">
        <v>2029</v>
      </c>
      <c r="B128" t="s">
        <v>398</v>
      </c>
    </row>
    <row r="129" spans="1:6">
      <c r="A129" s="291">
        <v>2030</v>
      </c>
      <c r="B129" t="s">
        <v>399</v>
      </c>
    </row>
    <row r="130" spans="1:6">
      <c r="A130" s="291">
        <v>2100</v>
      </c>
      <c r="B130" s="290" t="s">
        <v>400</v>
      </c>
      <c r="C130" s="290"/>
      <c r="D130" s="290"/>
      <c r="E130" s="290"/>
      <c r="F130" s="290"/>
    </row>
    <row r="131" spans="1:6">
      <c r="A131" s="291">
        <v>2211</v>
      </c>
      <c r="B131" t="s">
        <v>401</v>
      </c>
    </row>
    <row r="132" spans="1:6">
      <c r="A132" s="291">
        <v>2212</v>
      </c>
      <c r="B132" t="s">
        <v>402</v>
      </c>
    </row>
    <row r="133" spans="1:6">
      <c r="A133" s="291">
        <v>2219</v>
      </c>
      <c r="B133" t="s">
        <v>403</v>
      </c>
    </row>
    <row r="134" spans="1:6">
      <c r="A134" s="291">
        <v>2221</v>
      </c>
      <c r="B134" t="s">
        <v>404</v>
      </c>
    </row>
    <row r="135" spans="1:6">
      <c r="A135" s="291">
        <v>2229</v>
      </c>
      <c r="B135" t="s">
        <v>405</v>
      </c>
    </row>
    <row r="136" spans="1:6">
      <c r="A136" s="291">
        <v>2310</v>
      </c>
      <c r="B136" t="s">
        <v>406</v>
      </c>
    </row>
    <row r="137" spans="1:6">
      <c r="A137" s="291">
        <v>2391</v>
      </c>
      <c r="B137" t="s">
        <v>407</v>
      </c>
    </row>
    <row r="138" spans="1:6">
      <c r="A138" s="291">
        <v>2392</v>
      </c>
      <c r="B138" t="s">
        <v>408</v>
      </c>
    </row>
    <row r="139" spans="1:6">
      <c r="A139" s="291">
        <v>2393</v>
      </c>
      <c r="B139" t="s">
        <v>409</v>
      </c>
    </row>
    <row r="140" spans="1:6">
      <c r="A140" s="291">
        <v>2394</v>
      </c>
      <c r="B140" t="s">
        <v>410</v>
      </c>
    </row>
    <row r="141" spans="1:6">
      <c r="A141" s="291">
        <v>2395</v>
      </c>
      <c r="B141" t="s">
        <v>411</v>
      </c>
    </row>
    <row r="142" spans="1:6">
      <c r="A142" s="291">
        <v>2396</v>
      </c>
      <c r="B142" t="s">
        <v>412</v>
      </c>
    </row>
    <row r="143" spans="1:6">
      <c r="A143" s="291">
        <v>2399</v>
      </c>
      <c r="B143" t="s">
        <v>413</v>
      </c>
    </row>
    <row r="144" spans="1:6">
      <c r="A144" s="291">
        <v>2410</v>
      </c>
      <c r="B144" t="s">
        <v>414</v>
      </c>
    </row>
    <row r="145" spans="1:6">
      <c r="A145" s="292">
        <v>2421</v>
      </c>
      <c r="B145" t="s">
        <v>415</v>
      </c>
    </row>
    <row r="146" spans="1:6">
      <c r="A146" s="292">
        <v>2429</v>
      </c>
      <c r="B146" t="s">
        <v>416</v>
      </c>
    </row>
    <row r="147" spans="1:6">
      <c r="A147" s="292">
        <v>2431</v>
      </c>
      <c r="B147" t="s">
        <v>417</v>
      </c>
    </row>
    <row r="148" spans="1:6">
      <c r="A148" s="292">
        <v>2432</v>
      </c>
      <c r="B148" t="s">
        <v>418</v>
      </c>
    </row>
    <row r="149" spans="1:6">
      <c r="A149" s="292">
        <v>2511</v>
      </c>
      <c r="B149" t="s">
        <v>419</v>
      </c>
    </row>
    <row r="150" spans="1:6">
      <c r="A150" s="292">
        <v>2512</v>
      </c>
      <c r="B150" s="290" t="s">
        <v>420</v>
      </c>
      <c r="C150" s="290"/>
      <c r="D150" s="290"/>
      <c r="E150" s="290"/>
      <c r="F150" s="290"/>
    </row>
    <row r="151" spans="1:6">
      <c r="A151" s="292">
        <v>2513</v>
      </c>
      <c r="B151" s="290" t="s">
        <v>421</v>
      </c>
      <c r="C151" s="290"/>
      <c r="D151" s="290"/>
      <c r="E151" s="290"/>
      <c r="F151" s="290"/>
    </row>
    <row r="152" spans="1:6">
      <c r="A152" s="292">
        <v>2520</v>
      </c>
      <c r="B152" t="s">
        <v>422</v>
      </c>
    </row>
    <row r="153" spans="1:6">
      <c r="A153" s="292">
        <v>2591</v>
      </c>
      <c r="B153" t="s">
        <v>423</v>
      </c>
    </row>
    <row r="154" spans="1:6">
      <c r="A154" s="292">
        <v>2592</v>
      </c>
      <c r="B154" t="s">
        <v>424</v>
      </c>
    </row>
    <row r="155" spans="1:6">
      <c r="A155" s="292">
        <v>2593</v>
      </c>
      <c r="B155" s="290" t="s">
        <v>425</v>
      </c>
      <c r="C155" s="290"/>
      <c r="D155" s="290"/>
      <c r="E155" s="290"/>
      <c r="F155" s="290"/>
    </row>
    <row r="156" spans="1:6">
      <c r="A156" s="292">
        <v>2599</v>
      </c>
      <c r="B156" t="s">
        <v>426</v>
      </c>
    </row>
    <row r="157" spans="1:6">
      <c r="A157" s="292">
        <v>2610</v>
      </c>
      <c r="B157" t="s">
        <v>427</v>
      </c>
    </row>
    <row r="158" spans="1:6">
      <c r="A158" s="292">
        <v>2620</v>
      </c>
      <c r="B158" t="s">
        <v>428</v>
      </c>
    </row>
    <row r="159" spans="1:6">
      <c r="A159" s="292">
        <v>2630</v>
      </c>
      <c r="B159" t="s">
        <v>429</v>
      </c>
    </row>
    <row r="160" spans="1:6">
      <c r="A160" s="292">
        <v>2640</v>
      </c>
      <c r="B160" t="s">
        <v>430</v>
      </c>
    </row>
    <row r="161" spans="1:6">
      <c r="A161" s="292">
        <v>2651</v>
      </c>
      <c r="B161" t="s">
        <v>431</v>
      </c>
    </row>
    <row r="162" spans="1:6">
      <c r="A162" s="292">
        <v>2652</v>
      </c>
      <c r="B162" t="s">
        <v>432</v>
      </c>
    </row>
    <row r="163" spans="1:6">
      <c r="A163" s="292">
        <v>2660</v>
      </c>
      <c r="B163" s="290" t="s">
        <v>433</v>
      </c>
      <c r="C163" s="290"/>
      <c r="D163" s="290"/>
      <c r="E163" s="290"/>
      <c r="F163" s="290"/>
    </row>
    <row r="164" spans="1:6">
      <c r="A164" s="292">
        <v>2670</v>
      </c>
      <c r="B164" t="s">
        <v>434</v>
      </c>
    </row>
    <row r="165" spans="1:6">
      <c r="A165" s="292">
        <v>2680</v>
      </c>
      <c r="B165" t="s">
        <v>435</v>
      </c>
    </row>
    <row r="166" spans="1:6">
      <c r="A166" s="293">
        <v>2711</v>
      </c>
      <c r="B166" t="s">
        <v>436</v>
      </c>
    </row>
    <row r="167" spans="1:6">
      <c r="A167" s="293">
        <v>2712</v>
      </c>
      <c r="B167" t="s">
        <v>437</v>
      </c>
    </row>
    <row r="168" spans="1:6">
      <c r="A168" s="293">
        <v>2720</v>
      </c>
      <c r="B168" t="s">
        <v>438</v>
      </c>
    </row>
    <row r="169" spans="1:6">
      <c r="A169" s="293">
        <v>2731</v>
      </c>
      <c r="B169" t="s">
        <v>439</v>
      </c>
    </row>
    <row r="170" spans="1:6">
      <c r="A170" s="293">
        <v>2732</v>
      </c>
      <c r="B170" t="s">
        <v>440</v>
      </c>
    </row>
    <row r="171" spans="1:6">
      <c r="A171" s="293">
        <v>2740</v>
      </c>
      <c r="B171" t="s">
        <v>441</v>
      </c>
    </row>
    <row r="172" spans="1:6">
      <c r="A172" s="293">
        <v>2750</v>
      </c>
      <c r="B172" t="s">
        <v>442</v>
      </c>
    </row>
    <row r="173" spans="1:6">
      <c r="A173" s="293">
        <v>2790</v>
      </c>
      <c r="B173" t="s">
        <v>443</v>
      </c>
    </row>
    <row r="174" spans="1:6">
      <c r="A174" s="293">
        <v>2811</v>
      </c>
      <c r="B174" t="s">
        <v>853</v>
      </c>
    </row>
    <row r="175" spans="1:6">
      <c r="A175" s="293">
        <v>2812</v>
      </c>
      <c r="B175" t="s">
        <v>444</v>
      </c>
    </row>
    <row r="176" spans="1:6">
      <c r="A176" s="293">
        <v>2813</v>
      </c>
      <c r="B176" t="s">
        <v>445</v>
      </c>
    </row>
    <row r="177" spans="1:6">
      <c r="A177" s="293">
        <v>2814</v>
      </c>
      <c r="B177" s="290" t="s">
        <v>446</v>
      </c>
      <c r="C177" s="290"/>
      <c r="D177" s="290"/>
      <c r="E177" s="290"/>
      <c r="F177" s="290"/>
    </row>
    <row r="178" spans="1:6">
      <c r="A178" s="293">
        <v>2815</v>
      </c>
      <c r="B178" t="s">
        <v>447</v>
      </c>
    </row>
    <row r="179" spans="1:6">
      <c r="A179" s="293">
        <v>2816</v>
      </c>
      <c r="B179" t="s">
        <v>448</v>
      </c>
    </row>
    <row r="180" spans="1:6">
      <c r="A180" s="293">
        <v>2817</v>
      </c>
      <c r="B180" s="290" t="s">
        <v>449</v>
      </c>
      <c r="C180" s="290"/>
      <c r="D180" s="290"/>
      <c r="E180" s="290"/>
      <c r="F180" s="290"/>
    </row>
    <row r="181" spans="1:6">
      <c r="A181" s="293">
        <v>2818</v>
      </c>
      <c r="B181" t="s">
        <v>450</v>
      </c>
    </row>
    <row r="182" spans="1:6">
      <c r="A182" s="293">
        <v>2819</v>
      </c>
      <c r="B182" t="s">
        <v>451</v>
      </c>
    </row>
    <row r="183" spans="1:6">
      <c r="A183" s="293">
        <v>2821</v>
      </c>
      <c r="B183" t="s">
        <v>452</v>
      </c>
    </row>
    <row r="184" spans="1:6">
      <c r="A184" s="293">
        <v>2822</v>
      </c>
      <c r="B184" t="s">
        <v>453</v>
      </c>
    </row>
    <row r="185" spans="1:6">
      <c r="A185" s="293">
        <v>2823</v>
      </c>
      <c r="B185" t="s">
        <v>454</v>
      </c>
    </row>
    <row r="186" spans="1:6">
      <c r="A186" s="293">
        <v>2824</v>
      </c>
      <c r="B186" s="290" t="s">
        <v>455</v>
      </c>
      <c r="C186" s="290"/>
      <c r="D186" s="290"/>
      <c r="E186" s="290"/>
      <c r="F186" s="290"/>
    </row>
    <row r="187" spans="1:6">
      <c r="A187" s="293">
        <v>2825</v>
      </c>
      <c r="B187" s="290" t="s">
        <v>456</v>
      </c>
      <c r="C187" s="290"/>
      <c r="D187" s="290"/>
      <c r="E187" s="290"/>
      <c r="F187" s="290"/>
    </row>
    <row r="188" spans="1:6">
      <c r="A188" s="293">
        <v>2826</v>
      </c>
      <c r="B188" s="290" t="s">
        <v>457</v>
      </c>
      <c r="C188" s="290"/>
      <c r="D188" s="290"/>
      <c r="E188" s="290"/>
      <c r="F188" s="290"/>
    </row>
    <row r="189" spans="1:6">
      <c r="A189" s="293">
        <v>2829</v>
      </c>
      <c r="B189" t="s">
        <v>458</v>
      </c>
    </row>
    <row r="190" spans="1:6">
      <c r="A190" s="293">
        <v>2910</v>
      </c>
      <c r="B190" t="s">
        <v>459</v>
      </c>
    </row>
    <row r="191" spans="1:6">
      <c r="A191" s="293">
        <v>2920</v>
      </c>
      <c r="B191" s="290" t="s">
        <v>460</v>
      </c>
      <c r="C191" s="290"/>
      <c r="D191" s="290"/>
      <c r="E191" s="290"/>
      <c r="F191" s="290"/>
    </row>
    <row r="192" spans="1:6">
      <c r="A192" s="293">
        <v>2930</v>
      </c>
      <c r="B192" s="290" t="s">
        <v>854</v>
      </c>
      <c r="C192" s="290"/>
      <c r="D192" s="290"/>
      <c r="E192" s="290"/>
      <c r="F192" s="290"/>
    </row>
    <row r="193" spans="1:6">
      <c r="A193" s="293">
        <v>3011</v>
      </c>
      <c r="B193" t="s">
        <v>461</v>
      </c>
    </row>
    <row r="194" spans="1:6">
      <c r="A194" s="293">
        <v>3012</v>
      </c>
      <c r="B194" t="s">
        <v>462</v>
      </c>
    </row>
    <row r="195" spans="1:6">
      <c r="A195" s="293">
        <v>3020</v>
      </c>
      <c r="B195" t="s">
        <v>463</v>
      </c>
    </row>
    <row r="196" spans="1:6">
      <c r="A196" s="293">
        <v>3030</v>
      </c>
      <c r="B196" t="s">
        <v>464</v>
      </c>
    </row>
    <row r="197" spans="1:6">
      <c r="A197" s="293">
        <v>3040</v>
      </c>
      <c r="B197" t="s">
        <v>465</v>
      </c>
    </row>
    <row r="198" spans="1:6">
      <c r="A198" s="293">
        <v>3091</v>
      </c>
      <c r="B198" t="s">
        <v>466</v>
      </c>
    </row>
    <row r="199" spans="1:6">
      <c r="A199" s="293">
        <v>3092</v>
      </c>
      <c r="B199" s="290" t="s">
        <v>467</v>
      </c>
      <c r="C199" s="290"/>
      <c r="D199" s="290"/>
      <c r="E199" s="290"/>
      <c r="F199" s="290"/>
    </row>
    <row r="200" spans="1:6">
      <c r="A200" s="293">
        <v>3099</v>
      </c>
      <c r="B200" t="s">
        <v>468</v>
      </c>
    </row>
    <row r="201" spans="1:6">
      <c r="A201" s="293">
        <v>3110</v>
      </c>
      <c r="B201" t="s">
        <v>469</v>
      </c>
    </row>
    <row r="202" spans="1:6">
      <c r="A202" s="293">
        <v>3120</v>
      </c>
      <c r="B202" t="s">
        <v>470</v>
      </c>
    </row>
    <row r="203" spans="1:6">
      <c r="A203" s="293">
        <v>3211</v>
      </c>
      <c r="B203" s="290" t="s">
        <v>1044</v>
      </c>
    </row>
    <row r="204" spans="1:6">
      <c r="A204" s="293">
        <v>3212</v>
      </c>
      <c r="B204" s="290" t="s">
        <v>1045</v>
      </c>
    </row>
    <row r="205" spans="1:6">
      <c r="A205" s="293">
        <v>3220</v>
      </c>
      <c r="B205" t="s">
        <v>471</v>
      </c>
    </row>
    <row r="206" spans="1:6">
      <c r="A206" s="293">
        <v>3230</v>
      </c>
      <c r="B206" t="s">
        <v>472</v>
      </c>
    </row>
    <row r="207" spans="1:6">
      <c r="A207" s="293">
        <v>3240</v>
      </c>
      <c r="B207" t="s">
        <v>473</v>
      </c>
    </row>
    <row r="208" spans="1:6">
      <c r="A208" s="293">
        <v>3250</v>
      </c>
      <c r="B208" s="290" t="s">
        <v>474</v>
      </c>
      <c r="C208" s="290"/>
      <c r="D208" s="290"/>
      <c r="E208" s="290"/>
      <c r="F208" s="290"/>
    </row>
    <row r="209" spans="1:6">
      <c r="A209" s="293">
        <v>3290</v>
      </c>
      <c r="B209" t="s">
        <v>475</v>
      </c>
    </row>
    <row r="210" spans="1:6">
      <c r="A210" s="293">
        <v>3311</v>
      </c>
      <c r="B210" t="s">
        <v>476</v>
      </c>
    </row>
    <row r="211" spans="1:6">
      <c r="A211" s="293">
        <v>3312</v>
      </c>
      <c r="B211" t="s">
        <v>477</v>
      </c>
    </row>
    <row r="212" spans="1:6">
      <c r="A212" s="293">
        <v>3313</v>
      </c>
      <c r="B212" t="s">
        <v>478</v>
      </c>
    </row>
    <row r="213" spans="1:6">
      <c r="A213" s="293">
        <v>3314</v>
      </c>
      <c r="B213" t="s">
        <v>479</v>
      </c>
    </row>
    <row r="214" spans="1:6">
      <c r="A214" s="293">
        <v>3315</v>
      </c>
      <c r="B214" s="290" t="s">
        <v>480</v>
      </c>
      <c r="C214" s="290"/>
      <c r="D214" s="290"/>
      <c r="E214" s="290"/>
      <c r="F214" s="290"/>
    </row>
    <row r="215" spans="1:6">
      <c r="A215" s="293">
        <v>3319</v>
      </c>
      <c r="B215" s="290" t="s">
        <v>481</v>
      </c>
      <c r="C215" s="290"/>
      <c r="D215" s="290"/>
      <c r="E215" s="290"/>
      <c r="F215" s="290"/>
    </row>
    <row r="216" spans="1:6">
      <c r="A216" s="293">
        <v>3320</v>
      </c>
      <c r="B216" t="s">
        <v>482</v>
      </c>
    </row>
    <row r="217" spans="1:6">
      <c r="A217" s="293">
        <v>3511</v>
      </c>
      <c r="B217" t="s">
        <v>483</v>
      </c>
    </row>
    <row r="218" spans="1:6">
      <c r="A218" s="293">
        <v>3512</v>
      </c>
      <c r="B218" t="s">
        <v>484</v>
      </c>
    </row>
    <row r="219" spans="1:6">
      <c r="A219" s="293">
        <v>3513</v>
      </c>
      <c r="B219" t="s">
        <v>485</v>
      </c>
    </row>
    <row r="220" spans="1:6">
      <c r="A220" s="293">
        <v>3514</v>
      </c>
      <c r="B220" t="s">
        <v>486</v>
      </c>
    </row>
    <row r="221" spans="1:6">
      <c r="A221" s="293">
        <v>3520</v>
      </c>
      <c r="B221" t="s">
        <v>487</v>
      </c>
    </row>
    <row r="222" spans="1:6">
      <c r="A222" s="293">
        <v>3530</v>
      </c>
      <c r="B222" t="s">
        <v>488</v>
      </c>
    </row>
    <row r="223" spans="1:6">
      <c r="A223" s="293">
        <v>3600</v>
      </c>
      <c r="B223" t="s">
        <v>489</v>
      </c>
    </row>
    <row r="224" spans="1:6">
      <c r="A224" s="293">
        <v>3700</v>
      </c>
      <c r="B224" t="s">
        <v>490</v>
      </c>
    </row>
    <row r="225" spans="1:6">
      <c r="A225" s="293">
        <v>3811</v>
      </c>
      <c r="B225" t="s">
        <v>491</v>
      </c>
    </row>
    <row r="226" spans="1:6">
      <c r="A226" s="293">
        <v>3812</v>
      </c>
      <c r="B226" t="s">
        <v>492</v>
      </c>
    </row>
    <row r="227" spans="1:6">
      <c r="A227" s="293">
        <v>3821</v>
      </c>
      <c r="B227" t="s">
        <v>493</v>
      </c>
    </row>
    <row r="228" spans="1:6">
      <c r="A228" s="293">
        <v>3822</v>
      </c>
      <c r="B228" t="s">
        <v>494</v>
      </c>
    </row>
    <row r="229" spans="1:6">
      <c r="A229" s="293">
        <v>3830</v>
      </c>
      <c r="B229" t="s">
        <v>495</v>
      </c>
    </row>
    <row r="230" spans="1:6">
      <c r="A230" s="293">
        <v>3900</v>
      </c>
      <c r="B230" s="290" t="s">
        <v>496</v>
      </c>
      <c r="C230" s="290"/>
      <c r="D230" s="290"/>
      <c r="E230" s="290"/>
      <c r="F230" s="290"/>
    </row>
    <row r="231" spans="1:6">
      <c r="A231" s="293">
        <v>4111</v>
      </c>
      <c r="B231" t="s">
        <v>497</v>
      </c>
    </row>
    <row r="232" spans="1:6">
      <c r="A232" s="293">
        <v>4112</v>
      </c>
      <c r="B232" t="s">
        <v>498</v>
      </c>
    </row>
    <row r="233" spans="1:6">
      <c r="A233" s="293">
        <v>4210</v>
      </c>
      <c r="B233" t="s">
        <v>499</v>
      </c>
    </row>
    <row r="234" spans="1:6">
      <c r="A234" s="293">
        <v>4220</v>
      </c>
      <c r="B234" t="s">
        <v>500</v>
      </c>
    </row>
    <row r="235" spans="1:6">
      <c r="A235" s="293">
        <v>4290</v>
      </c>
      <c r="B235" t="s">
        <v>501</v>
      </c>
    </row>
    <row r="236" spans="1:6">
      <c r="A236" s="293">
        <v>4311</v>
      </c>
      <c r="B236" t="s">
        <v>502</v>
      </c>
    </row>
    <row r="237" spans="1:6">
      <c r="A237" s="293">
        <v>4312</v>
      </c>
      <c r="B237" t="s">
        <v>503</v>
      </c>
    </row>
    <row r="238" spans="1:6">
      <c r="A238" s="293">
        <v>4321</v>
      </c>
      <c r="B238" t="s">
        <v>504</v>
      </c>
    </row>
    <row r="239" spans="1:6">
      <c r="A239" s="293">
        <v>4322</v>
      </c>
      <c r="B239" t="s">
        <v>505</v>
      </c>
    </row>
    <row r="240" spans="1:6">
      <c r="A240" s="293">
        <v>4329</v>
      </c>
      <c r="B240" t="s">
        <v>506</v>
      </c>
    </row>
    <row r="241" spans="1:6">
      <c r="A241" s="293">
        <v>4330</v>
      </c>
      <c r="B241" t="s">
        <v>507</v>
      </c>
    </row>
    <row r="242" spans="1:6">
      <c r="A242" s="293">
        <v>4390</v>
      </c>
      <c r="B242" s="290" t="s">
        <v>508</v>
      </c>
      <c r="C242" s="290"/>
      <c r="D242" s="290"/>
      <c r="E242" s="290"/>
      <c r="F242" s="290"/>
    </row>
    <row r="243" spans="1:6">
      <c r="A243" s="293">
        <v>4511</v>
      </c>
      <c r="B243" t="s">
        <v>509</v>
      </c>
    </row>
    <row r="244" spans="1:6">
      <c r="A244" s="293">
        <v>4612</v>
      </c>
      <c r="B244" t="s">
        <v>510</v>
      </c>
    </row>
    <row r="245" spans="1:6">
      <c r="A245" s="293">
        <v>4520</v>
      </c>
      <c r="B245" t="s">
        <v>511</v>
      </c>
    </row>
    <row r="246" spans="1:6">
      <c r="A246" s="293">
        <v>4530</v>
      </c>
      <c r="B246" s="290" t="s">
        <v>512</v>
      </c>
      <c r="C246" s="290"/>
      <c r="D246" s="290"/>
      <c r="E246" s="290"/>
      <c r="F246" s="290"/>
    </row>
    <row r="247" spans="1:6">
      <c r="A247" s="293">
        <v>4541</v>
      </c>
      <c r="B247" t="s">
        <v>513</v>
      </c>
    </row>
    <row r="248" spans="1:6">
      <c r="A248" s="293">
        <v>4542</v>
      </c>
      <c r="B248" t="s">
        <v>514</v>
      </c>
    </row>
    <row r="249" spans="1:6">
      <c r="A249" s="293">
        <v>4610</v>
      </c>
      <c r="B249" t="s">
        <v>515</v>
      </c>
    </row>
    <row r="250" spans="1:6">
      <c r="A250" s="293">
        <v>4620</v>
      </c>
      <c r="B250" t="s">
        <v>516</v>
      </c>
    </row>
    <row r="251" spans="1:6">
      <c r="A251" s="293">
        <v>4631</v>
      </c>
      <c r="B251" t="s">
        <v>517</v>
      </c>
    </row>
    <row r="252" spans="1:6">
      <c r="A252" s="293">
        <v>4632</v>
      </c>
      <c r="B252" t="s">
        <v>518</v>
      </c>
    </row>
    <row r="253" spans="1:6">
      <c r="A253" s="293">
        <v>4641</v>
      </c>
      <c r="B253" s="290" t="s">
        <v>519</v>
      </c>
      <c r="C253" s="290"/>
      <c r="D253" s="290"/>
      <c r="E253" s="290"/>
      <c r="F253" s="290"/>
    </row>
    <row r="254" spans="1:6">
      <c r="A254" s="293">
        <v>4642</v>
      </c>
      <c r="B254" t="s">
        <v>520</v>
      </c>
    </row>
    <row r="255" spans="1:6">
      <c r="A255" s="293">
        <v>4643</v>
      </c>
      <c r="B255" t="s">
        <v>521</v>
      </c>
    </row>
    <row r="256" spans="1:6">
      <c r="A256" s="293">
        <v>4644</v>
      </c>
      <c r="B256" t="s">
        <v>522</v>
      </c>
    </row>
    <row r="257" spans="1:6">
      <c r="A257" s="293">
        <v>4645</v>
      </c>
      <c r="B257" s="290" t="s">
        <v>523</v>
      </c>
      <c r="C257" s="290"/>
      <c r="D257" s="290"/>
      <c r="E257" s="290"/>
      <c r="F257" s="290"/>
    </row>
    <row r="258" spans="1:6">
      <c r="A258" s="293">
        <v>4649</v>
      </c>
      <c r="B258" t="s">
        <v>524</v>
      </c>
    </row>
    <row r="259" spans="1:6">
      <c r="A259" s="293">
        <v>4651</v>
      </c>
      <c r="B259" s="290" t="s">
        <v>525</v>
      </c>
      <c r="C259" s="290"/>
      <c r="D259" s="290"/>
      <c r="E259" s="290"/>
      <c r="F259" s="290"/>
    </row>
    <row r="260" spans="1:6">
      <c r="A260" s="293">
        <v>4652</v>
      </c>
      <c r="B260" s="290" t="s">
        <v>526</v>
      </c>
      <c r="C260" s="290"/>
      <c r="D260" s="290"/>
      <c r="E260" s="290"/>
      <c r="F260" s="290"/>
    </row>
    <row r="261" spans="1:6">
      <c r="A261" s="293">
        <v>4653</v>
      </c>
      <c r="B261" t="s">
        <v>527</v>
      </c>
    </row>
    <row r="262" spans="1:6">
      <c r="A262" s="293">
        <v>4659</v>
      </c>
      <c r="B262" t="s">
        <v>528</v>
      </c>
    </row>
    <row r="263" spans="1:6">
      <c r="A263" s="293">
        <v>4661</v>
      </c>
      <c r="B263" s="290" t="s">
        <v>529</v>
      </c>
      <c r="C263" s="290"/>
      <c r="D263" s="290"/>
      <c r="E263" s="290"/>
      <c r="F263" s="290"/>
    </row>
    <row r="264" spans="1:6">
      <c r="A264" s="293">
        <v>4662</v>
      </c>
      <c r="B264" t="s">
        <v>530</v>
      </c>
    </row>
    <row r="265" spans="1:6">
      <c r="A265" s="293">
        <v>4663</v>
      </c>
      <c r="B265" s="290" t="s">
        <v>531</v>
      </c>
      <c r="C265" s="290"/>
      <c r="D265" s="290"/>
      <c r="E265" s="290"/>
      <c r="F265" s="290"/>
    </row>
    <row r="266" spans="1:6">
      <c r="A266" s="293">
        <v>4664</v>
      </c>
      <c r="B266" s="290" t="s">
        <v>532</v>
      </c>
      <c r="C266" s="290"/>
      <c r="D266" s="290"/>
      <c r="E266" s="290"/>
      <c r="F266" s="290"/>
    </row>
    <row r="267" spans="1:6">
      <c r="A267" s="293">
        <v>4665</v>
      </c>
      <c r="B267" t="s">
        <v>533</v>
      </c>
    </row>
    <row r="268" spans="1:6">
      <c r="A268" s="293">
        <v>4669</v>
      </c>
      <c r="B268" t="s">
        <v>534</v>
      </c>
    </row>
    <row r="269" spans="1:6">
      <c r="A269" s="293">
        <v>4690</v>
      </c>
      <c r="B269" t="s">
        <v>535</v>
      </c>
    </row>
    <row r="270" spans="1:6">
      <c r="A270" s="293">
        <v>4711</v>
      </c>
      <c r="B270" s="290" t="s">
        <v>536</v>
      </c>
      <c r="C270" s="290"/>
      <c r="D270" s="290"/>
      <c r="E270" s="290"/>
      <c r="F270" s="290"/>
    </row>
    <row r="271" spans="1:6">
      <c r="A271" s="293">
        <v>4719</v>
      </c>
      <c r="B271" s="290" t="s">
        <v>855</v>
      </c>
      <c r="C271" s="290"/>
      <c r="D271" s="290"/>
      <c r="E271" s="290"/>
      <c r="F271" s="290"/>
    </row>
    <row r="272" spans="1:6">
      <c r="A272" s="293">
        <v>4721</v>
      </c>
      <c r="B272" s="290" t="s">
        <v>537</v>
      </c>
      <c r="C272" s="290"/>
      <c r="D272" s="290"/>
      <c r="E272" s="290"/>
      <c r="F272" s="290"/>
    </row>
    <row r="273" spans="1:6">
      <c r="A273" s="293">
        <v>4722</v>
      </c>
      <c r="B273" s="290" t="s">
        <v>538</v>
      </c>
      <c r="C273" s="290"/>
      <c r="D273" s="290"/>
      <c r="E273" s="290"/>
      <c r="F273" s="290"/>
    </row>
    <row r="274" spans="1:6">
      <c r="A274" s="293">
        <v>4723</v>
      </c>
      <c r="B274" s="290" t="s">
        <v>539</v>
      </c>
      <c r="C274" s="290"/>
      <c r="D274" s="290"/>
      <c r="E274" s="290"/>
      <c r="F274" s="290"/>
    </row>
    <row r="275" spans="1:6">
      <c r="A275" s="293">
        <v>4724</v>
      </c>
      <c r="B275" s="290" t="s">
        <v>540</v>
      </c>
      <c r="C275" s="290"/>
      <c r="D275" s="290"/>
      <c r="E275" s="290"/>
      <c r="F275" s="290"/>
    </row>
    <row r="276" spans="1:6">
      <c r="A276" s="293">
        <v>4729</v>
      </c>
      <c r="B276" s="290" t="s">
        <v>541</v>
      </c>
      <c r="C276" s="290"/>
      <c r="D276" s="290"/>
      <c r="E276" s="290"/>
      <c r="F276" s="290"/>
    </row>
    <row r="277" spans="1:6">
      <c r="A277" s="293">
        <v>4731</v>
      </c>
      <c r="B277" t="s">
        <v>542</v>
      </c>
    </row>
    <row r="278" spans="1:6">
      <c r="A278" s="293">
        <v>4732</v>
      </c>
      <c r="B278" s="290" t="s">
        <v>543</v>
      </c>
      <c r="C278" s="290"/>
      <c r="D278" s="290"/>
      <c r="E278" s="290"/>
      <c r="F278" s="290"/>
    </row>
    <row r="279" spans="1:6">
      <c r="A279" s="293">
        <v>4741</v>
      </c>
      <c r="B279" s="290" t="s">
        <v>544</v>
      </c>
      <c r="C279" s="290"/>
      <c r="D279" s="290"/>
      <c r="E279" s="290"/>
      <c r="F279" s="290"/>
    </row>
    <row r="280" spans="1:6">
      <c r="A280" s="293">
        <v>4742</v>
      </c>
      <c r="B280" s="290" t="s">
        <v>545</v>
      </c>
      <c r="C280" s="290"/>
      <c r="D280" s="290"/>
      <c r="E280" s="290"/>
      <c r="F280" s="290"/>
    </row>
    <row r="281" spans="1:6">
      <c r="A281" s="293">
        <v>4751</v>
      </c>
      <c r="B281" s="290" t="s">
        <v>546</v>
      </c>
      <c r="C281" s="290"/>
      <c r="D281" s="290"/>
      <c r="E281" s="290"/>
      <c r="F281" s="290"/>
    </row>
    <row r="282" spans="1:6">
      <c r="A282" s="293">
        <v>4752</v>
      </c>
      <c r="B282" s="290" t="s">
        <v>547</v>
      </c>
      <c r="C282" s="290"/>
      <c r="D282" s="290"/>
      <c r="E282" s="290"/>
      <c r="F282" s="290"/>
    </row>
    <row r="283" spans="1:6">
      <c r="A283" s="293">
        <v>4753</v>
      </c>
      <c r="B283" s="290" t="s">
        <v>548</v>
      </c>
      <c r="C283" s="290"/>
      <c r="D283" s="290"/>
      <c r="E283" s="290"/>
      <c r="F283" s="290"/>
    </row>
    <row r="284" spans="1:6">
      <c r="A284" s="293">
        <v>4754</v>
      </c>
      <c r="B284" s="290" t="s">
        <v>856</v>
      </c>
      <c r="C284" s="290"/>
      <c r="D284" s="290"/>
      <c r="E284" s="290"/>
      <c r="F284" s="290"/>
    </row>
    <row r="285" spans="1:6">
      <c r="A285" s="293">
        <v>4755</v>
      </c>
      <c r="B285" t="s">
        <v>857</v>
      </c>
    </row>
    <row r="286" spans="1:6">
      <c r="A286" s="293">
        <v>4759</v>
      </c>
      <c r="B286" s="290" t="s">
        <v>549</v>
      </c>
      <c r="C286" s="290"/>
      <c r="D286" s="290"/>
      <c r="E286" s="290"/>
      <c r="F286" s="290"/>
    </row>
    <row r="287" spans="1:6">
      <c r="A287" s="293">
        <v>4761</v>
      </c>
      <c r="B287" s="290" t="s">
        <v>550</v>
      </c>
      <c r="C287" s="290"/>
      <c r="D287" s="290"/>
      <c r="E287" s="290"/>
      <c r="F287" s="290"/>
    </row>
    <row r="288" spans="1:6">
      <c r="A288" s="293">
        <v>4762</v>
      </c>
      <c r="B288" s="290" t="s">
        <v>551</v>
      </c>
      <c r="C288" s="290"/>
      <c r="D288" s="290"/>
      <c r="E288" s="290"/>
      <c r="F288" s="290"/>
    </row>
    <row r="289" spans="1:6">
      <c r="A289" s="293">
        <v>4769</v>
      </c>
      <c r="B289" s="290" t="s">
        <v>552</v>
      </c>
      <c r="C289" s="290"/>
      <c r="D289" s="290"/>
      <c r="E289" s="290"/>
      <c r="F289" s="290"/>
    </row>
    <row r="290" spans="1:6">
      <c r="A290" s="293">
        <v>4771</v>
      </c>
      <c r="B290" s="290" t="s">
        <v>553</v>
      </c>
      <c r="C290" s="290"/>
      <c r="D290" s="290"/>
      <c r="E290" s="290"/>
      <c r="F290" s="290"/>
    </row>
    <row r="291" spans="1:6">
      <c r="A291" s="293">
        <v>4772</v>
      </c>
      <c r="B291" s="290" t="s">
        <v>554</v>
      </c>
      <c r="C291" s="290"/>
      <c r="D291" s="290"/>
      <c r="E291" s="290"/>
      <c r="F291" s="290"/>
    </row>
    <row r="292" spans="1:6">
      <c r="A292" s="294">
        <v>4773</v>
      </c>
      <c r="B292" s="290" t="s">
        <v>555</v>
      </c>
      <c r="C292" s="290"/>
      <c r="D292" s="290"/>
      <c r="E292" s="290"/>
      <c r="F292" s="290"/>
    </row>
    <row r="293" spans="1:6">
      <c r="A293" s="294">
        <v>4774</v>
      </c>
      <c r="B293" s="290" t="s">
        <v>556</v>
      </c>
      <c r="C293" s="290"/>
      <c r="D293" s="290"/>
      <c r="E293" s="290"/>
      <c r="F293" s="290"/>
    </row>
    <row r="294" spans="1:6">
      <c r="A294" s="294">
        <v>4775</v>
      </c>
      <c r="B294" t="s">
        <v>557</v>
      </c>
    </row>
    <row r="295" spans="1:6">
      <c r="A295" s="294">
        <v>4781</v>
      </c>
      <c r="B295" s="290" t="s">
        <v>558</v>
      </c>
      <c r="C295" s="290"/>
      <c r="D295" s="290"/>
      <c r="E295" s="290"/>
      <c r="F295" s="290"/>
    </row>
    <row r="296" spans="1:6">
      <c r="A296" s="294">
        <v>4782</v>
      </c>
      <c r="B296" s="290" t="s">
        <v>559</v>
      </c>
      <c r="C296" s="290"/>
      <c r="D296" s="290"/>
      <c r="E296" s="290"/>
      <c r="F296" s="290"/>
    </row>
    <row r="297" spans="1:6">
      <c r="A297" s="294">
        <v>4789</v>
      </c>
      <c r="B297" t="s">
        <v>560</v>
      </c>
    </row>
    <row r="298" spans="1:6">
      <c r="A298" s="294">
        <v>4791</v>
      </c>
      <c r="B298" t="s">
        <v>561</v>
      </c>
    </row>
    <row r="299" spans="1:6">
      <c r="A299" s="294">
        <v>4792</v>
      </c>
      <c r="B299" t="s">
        <v>562</v>
      </c>
    </row>
    <row r="300" spans="1:6">
      <c r="A300" s="294">
        <v>4799</v>
      </c>
      <c r="B300" s="290" t="s">
        <v>563</v>
      </c>
      <c r="C300" s="290"/>
      <c r="D300" s="290"/>
      <c r="E300" s="290"/>
      <c r="F300" s="290"/>
    </row>
    <row r="301" spans="1:6">
      <c r="A301" s="294">
        <v>4911</v>
      </c>
      <c r="B301" t="s">
        <v>564</v>
      </c>
    </row>
    <row r="302" spans="1:6">
      <c r="A302" s="294">
        <v>4912</v>
      </c>
      <c r="B302" t="s">
        <v>565</v>
      </c>
    </row>
    <row r="303" spans="1:6">
      <c r="A303" s="294">
        <v>4921</v>
      </c>
      <c r="B303" t="s">
        <v>566</v>
      </c>
    </row>
    <row r="304" spans="1:6">
      <c r="A304" s="294">
        <v>4922</v>
      </c>
      <c r="B304" t="s">
        <v>567</v>
      </c>
    </row>
    <row r="305" spans="1:6">
      <c r="A305" s="294">
        <v>4923</v>
      </c>
      <c r="B305" t="s">
        <v>568</v>
      </c>
    </row>
    <row r="306" spans="1:6">
      <c r="A306" s="294">
        <v>4930</v>
      </c>
      <c r="B306" t="s">
        <v>569</v>
      </c>
    </row>
    <row r="307" spans="1:6">
      <c r="A307" s="294">
        <v>5011</v>
      </c>
      <c r="B307" t="s">
        <v>570</v>
      </c>
    </row>
    <row r="308" spans="1:6">
      <c r="A308" s="294">
        <v>5012</v>
      </c>
      <c r="B308" t="s">
        <v>571</v>
      </c>
    </row>
    <row r="309" spans="1:6">
      <c r="A309" s="294">
        <v>5021</v>
      </c>
      <c r="B309" t="s">
        <v>572</v>
      </c>
    </row>
    <row r="310" spans="1:6">
      <c r="A310" s="294">
        <v>5022</v>
      </c>
      <c r="B310" t="s">
        <v>573</v>
      </c>
    </row>
    <row r="311" spans="1:6">
      <c r="A311" s="294">
        <v>5111</v>
      </c>
      <c r="B311" t="s">
        <v>574</v>
      </c>
    </row>
    <row r="312" spans="1:6">
      <c r="A312" s="294">
        <v>5112</v>
      </c>
      <c r="B312" t="s">
        <v>575</v>
      </c>
    </row>
    <row r="313" spans="1:6">
      <c r="A313" s="294">
        <v>5121</v>
      </c>
      <c r="B313" t="s">
        <v>576</v>
      </c>
    </row>
    <row r="314" spans="1:6">
      <c r="A314" s="294">
        <v>5122</v>
      </c>
      <c r="B314" t="s">
        <v>577</v>
      </c>
    </row>
    <row r="315" spans="1:6">
      <c r="A315" s="294">
        <v>5210</v>
      </c>
      <c r="B315" t="s">
        <v>578</v>
      </c>
    </row>
    <row r="316" spans="1:6">
      <c r="A316" s="294">
        <v>5221</v>
      </c>
      <c r="B316" s="290" t="s">
        <v>579</v>
      </c>
      <c r="C316" s="290"/>
      <c r="D316" s="290"/>
      <c r="E316" s="290"/>
      <c r="F316" s="290"/>
    </row>
    <row r="317" spans="1:6">
      <c r="A317" s="294">
        <v>5222</v>
      </c>
      <c r="B317" s="290" t="s">
        <v>580</v>
      </c>
      <c r="C317" s="290"/>
      <c r="D317" s="290"/>
      <c r="E317" s="290"/>
      <c r="F317" s="290"/>
    </row>
    <row r="318" spans="1:6">
      <c r="A318" s="294">
        <v>5223</v>
      </c>
      <c r="B318" s="290" t="s">
        <v>581</v>
      </c>
      <c r="C318" s="290"/>
      <c r="D318" s="290"/>
      <c r="E318" s="290"/>
      <c r="F318" s="290"/>
    </row>
    <row r="319" spans="1:6">
      <c r="A319" s="294">
        <v>5224</v>
      </c>
      <c r="B319" t="s">
        <v>582</v>
      </c>
    </row>
    <row r="320" spans="1:6">
      <c r="A320" s="294">
        <v>559</v>
      </c>
      <c r="B320" t="s">
        <v>583</v>
      </c>
    </row>
    <row r="321" spans="1:2">
      <c r="A321" s="294">
        <v>5310</v>
      </c>
      <c r="B321" t="s">
        <v>584</v>
      </c>
    </row>
    <row r="322" spans="1:2">
      <c r="A322" s="294">
        <v>5320</v>
      </c>
      <c r="B322" t="s">
        <v>585</v>
      </c>
    </row>
    <row r="323" spans="1:2">
      <c r="A323" s="294">
        <v>5511</v>
      </c>
      <c r="B323" t="s">
        <v>586</v>
      </c>
    </row>
    <row r="324" spans="1:2">
      <c r="A324" s="294">
        <v>5512</v>
      </c>
      <c r="B324" t="s">
        <v>587</v>
      </c>
    </row>
    <row r="325" spans="1:2">
      <c r="A325" s="294">
        <v>5513</v>
      </c>
      <c r="B325" t="s">
        <v>588</v>
      </c>
    </row>
    <row r="326" spans="1:2">
      <c r="A326" s="294">
        <v>5514</v>
      </c>
      <c r="B326" t="s">
        <v>589</v>
      </c>
    </row>
    <row r="327" spans="1:2">
      <c r="A327" s="294">
        <v>5519</v>
      </c>
      <c r="B327" t="s">
        <v>590</v>
      </c>
    </row>
    <row r="328" spans="1:2">
      <c r="A328" s="294">
        <v>5520</v>
      </c>
      <c r="B328" t="s">
        <v>591</v>
      </c>
    </row>
    <row r="329" spans="1:2">
      <c r="A329" s="294">
        <v>5530</v>
      </c>
      <c r="B329" t="s">
        <v>858</v>
      </c>
    </row>
    <row r="330" spans="1:2">
      <c r="A330" s="294">
        <v>5590</v>
      </c>
      <c r="B330" t="s">
        <v>592</v>
      </c>
    </row>
    <row r="331" spans="1:2">
      <c r="A331" s="294">
        <v>5611</v>
      </c>
      <c r="B331" t="s">
        <v>593</v>
      </c>
    </row>
    <row r="332" spans="1:2">
      <c r="A332" s="294">
        <v>5612</v>
      </c>
      <c r="B332" t="s">
        <v>594</v>
      </c>
    </row>
    <row r="333" spans="1:2">
      <c r="A333" s="294">
        <v>5613</v>
      </c>
      <c r="B333" t="s">
        <v>595</v>
      </c>
    </row>
    <row r="334" spans="1:2">
      <c r="A334" s="294">
        <v>5619</v>
      </c>
      <c r="B334" t="s">
        <v>596</v>
      </c>
    </row>
    <row r="335" spans="1:2">
      <c r="A335" s="294">
        <v>5621</v>
      </c>
      <c r="B335" t="s">
        <v>597</v>
      </c>
    </row>
    <row r="336" spans="1:2">
      <c r="A336" s="294">
        <v>5629</v>
      </c>
      <c r="B336" t="s">
        <v>598</v>
      </c>
    </row>
    <row r="337" spans="1:6">
      <c r="A337" s="294">
        <v>5630</v>
      </c>
      <c r="B337" t="s">
        <v>599</v>
      </c>
    </row>
    <row r="338" spans="1:6">
      <c r="A338" s="294">
        <v>5811</v>
      </c>
      <c r="B338" t="s">
        <v>600</v>
      </c>
    </row>
    <row r="339" spans="1:6">
      <c r="A339" s="294">
        <v>5812</v>
      </c>
      <c r="B339" t="s">
        <v>601</v>
      </c>
    </row>
    <row r="340" spans="1:6">
      <c r="A340" s="294">
        <v>5813</v>
      </c>
      <c r="B340" t="s">
        <v>602</v>
      </c>
    </row>
    <row r="341" spans="1:6">
      <c r="A341" s="294">
        <v>5819</v>
      </c>
      <c r="B341" t="s">
        <v>603</v>
      </c>
    </row>
    <row r="342" spans="1:6">
      <c r="A342" s="294">
        <v>5820</v>
      </c>
      <c r="B342" t="s">
        <v>604</v>
      </c>
    </row>
    <row r="343" spans="1:6">
      <c r="A343" s="294">
        <v>5911</v>
      </c>
      <c r="B343" s="290" t="s">
        <v>605</v>
      </c>
      <c r="C343" s="290"/>
      <c r="D343" s="290"/>
      <c r="E343" s="290"/>
      <c r="F343" s="290"/>
    </row>
    <row r="344" spans="1:6">
      <c r="A344" s="294">
        <v>5912</v>
      </c>
      <c r="B344" s="290" t="s">
        <v>606</v>
      </c>
      <c r="C344" s="290"/>
      <c r="D344" s="290"/>
      <c r="E344" s="290"/>
      <c r="F344" s="290"/>
    </row>
    <row r="345" spans="1:6">
      <c r="A345" s="294">
        <v>5913</v>
      </c>
      <c r="B345" s="290" t="s">
        <v>607</v>
      </c>
      <c r="C345" s="290"/>
      <c r="D345" s="290"/>
      <c r="E345" s="290"/>
      <c r="F345" s="290"/>
    </row>
    <row r="346" spans="1:6">
      <c r="A346" s="294">
        <v>5914</v>
      </c>
      <c r="B346" t="s">
        <v>608</v>
      </c>
    </row>
    <row r="347" spans="1:6">
      <c r="A347" s="294">
        <v>5920</v>
      </c>
      <c r="B347" t="s">
        <v>609</v>
      </c>
    </row>
    <row r="348" spans="1:6">
      <c r="A348" s="294">
        <v>6010</v>
      </c>
      <c r="B348" s="290" t="s">
        <v>610</v>
      </c>
      <c r="C348" s="290"/>
      <c r="D348" s="290"/>
      <c r="E348" s="290"/>
      <c r="F348" s="290"/>
    </row>
    <row r="349" spans="1:6">
      <c r="A349" s="294">
        <v>6020</v>
      </c>
      <c r="B349" t="s">
        <v>611</v>
      </c>
    </row>
    <row r="350" spans="1:6">
      <c r="A350" s="294">
        <v>6110</v>
      </c>
      <c r="B350" t="s">
        <v>612</v>
      </c>
    </row>
    <row r="351" spans="1:6">
      <c r="A351" s="294">
        <v>6120</v>
      </c>
      <c r="B351" t="s">
        <v>613</v>
      </c>
    </row>
    <row r="352" spans="1:6">
      <c r="A352" s="294">
        <v>6130</v>
      </c>
      <c r="B352" t="s">
        <v>614</v>
      </c>
    </row>
    <row r="353" spans="1:6">
      <c r="A353" s="294">
        <v>6190</v>
      </c>
      <c r="B353" t="s">
        <v>615</v>
      </c>
    </row>
    <row r="354" spans="1:6">
      <c r="A354" s="294">
        <v>6201</v>
      </c>
      <c r="B354" s="290" t="s">
        <v>616</v>
      </c>
      <c r="C354" s="290"/>
      <c r="D354" s="290"/>
      <c r="E354" s="290"/>
      <c r="F354" s="290"/>
    </row>
    <row r="355" spans="1:6">
      <c r="A355" s="294">
        <v>6202</v>
      </c>
      <c r="B355" s="290" t="s">
        <v>617</v>
      </c>
      <c r="C355" s="290"/>
      <c r="D355" s="290"/>
      <c r="E355" s="290"/>
      <c r="F355" s="290"/>
    </row>
    <row r="356" spans="1:6">
      <c r="A356" s="294">
        <v>6209</v>
      </c>
      <c r="B356" s="290" t="s">
        <v>618</v>
      </c>
      <c r="C356" s="290"/>
      <c r="D356" s="290"/>
      <c r="E356" s="290"/>
      <c r="F356" s="290"/>
    </row>
    <row r="357" spans="1:6">
      <c r="A357" s="294">
        <v>6311</v>
      </c>
      <c r="B357" t="s">
        <v>619</v>
      </c>
    </row>
    <row r="358" spans="1:6">
      <c r="A358" s="294">
        <v>6312</v>
      </c>
      <c r="B358" t="s">
        <v>620</v>
      </c>
    </row>
    <row r="359" spans="1:6">
      <c r="A359" s="294">
        <v>6391</v>
      </c>
      <c r="B359" t="s">
        <v>621</v>
      </c>
    </row>
    <row r="360" spans="1:6">
      <c r="A360" s="294">
        <v>6399</v>
      </c>
      <c r="B360" t="s">
        <v>622</v>
      </c>
    </row>
    <row r="361" spans="1:6">
      <c r="A361" s="294">
        <v>6411</v>
      </c>
      <c r="B361" t="s">
        <v>623</v>
      </c>
    </row>
    <row r="362" spans="1:6">
      <c r="A362" s="294">
        <v>6412</v>
      </c>
      <c r="B362" t="s">
        <v>624</v>
      </c>
    </row>
    <row r="363" spans="1:6">
      <c r="A363" s="294">
        <v>6421</v>
      </c>
      <c r="B363" t="s">
        <v>625</v>
      </c>
    </row>
    <row r="364" spans="1:6">
      <c r="A364" s="294">
        <v>6422</v>
      </c>
      <c r="B364" t="s">
        <v>626</v>
      </c>
    </row>
    <row r="365" spans="1:6">
      <c r="A365" s="294">
        <v>6423</v>
      </c>
      <c r="B365" t="s">
        <v>627</v>
      </c>
    </row>
    <row r="366" spans="1:6">
      <c r="A366" s="294">
        <v>6424</v>
      </c>
      <c r="B366" t="s">
        <v>628</v>
      </c>
    </row>
    <row r="367" spans="1:6">
      <c r="A367" s="294">
        <v>6431</v>
      </c>
      <c r="B367" t="s">
        <v>629</v>
      </c>
    </row>
    <row r="368" spans="1:6">
      <c r="A368" s="294">
        <v>6432</v>
      </c>
      <c r="B368" t="s">
        <v>630</v>
      </c>
    </row>
    <row r="369" spans="1:6">
      <c r="A369" s="294">
        <v>6491</v>
      </c>
      <c r="B369" t="s">
        <v>631</v>
      </c>
    </row>
    <row r="370" spans="1:6">
      <c r="A370" s="294">
        <v>6492</v>
      </c>
      <c r="B370" s="290" t="s">
        <v>632</v>
      </c>
      <c r="C370" s="290"/>
      <c r="D370" s="290"/>
      <c r="E370" s="290"/>
      <c r="F370" s="290"/>
    </row>
    <row r="371" spans="1:6">
      <c r="A371" s="294">
        <v>6493</v>
      </c>
      <c r="B371" t="s">
        <v>633</v>
      </c>
    </row>
    <row r="372" spans="1:6">
      <c r="A372" s="294">
        <v>6494</v>
      </c>
      <c r="B372" t="s">
        <v>634</v>
      </c>
    </row>
    <row r="373" spans="1:6">
      <c r="A373" s="294">
        <v>6495</v>
      </c>
      <c r="B373" t="s">
        <v>635</v>
      </c>
    </row>
    <row r="374" spans="1:6">
      <c r="A374" s="294">
        <v>6496</v>
      </c>
      <c r="B374" t="s">
        <v>859</v>
      </c>
    </row>
    <row r="375" spans="1:6">
      <c r="A375" s="294">
        <v>6499</v>
      </c>
      <c r="B375" s="290" t="s">
        <v>636</v>
      </c>
      <c r="C375" s="290"/>
      <c r="D375" s="290"/>
      <c r="E375" s="290"/>
      <c r="F375" s="290"/>
    </row>
    <row r="376" spans="1:6">
      <c r="A376" s="294">
        <v>6511</v>
      </c>
      <c r="B376" t="s">
        <v>637</v>
      </c>
    </row>
    <row r="377" spans="1:6">
      <c r="A377" s="294">
        <v>6512</v>
      </c>
      <c r="B377" t="s">
        <v>638</v>
      </c>
    </row>
    <row r="378" spans="1:6">
      <c r="A378" s="294">
        <v>6513</v>
      </c>
      <c r="B378" t="s">
        <v>639</v>
      </c>
    </row>
    <row r="379" spans="1:6">
      <c r="A379" s="294">
        <v>6515</v>
      </c>
      <c r="B379" t="s">
        <v>860</v>
      </c>
    </row>
    <row r="380" spans="1:6">
      <c r="A380" s="294">
        <v>6521</v>
      </c>
      <c r="B380" t="s">
        <v>640</v>
      </c>
    </row>
    <row r="381" spans="1:6">
      <c r="A381" s="294">
        <v>6522</v>
      </c>
      <c r="B381" t="s">
        <v>641</v>
      </c>
    </row>
    <row r="382" spans="1:6">
      <c r="A382" s="294">
        <v>6523</v>
      </c>
      <c r="B382" t="s">
        <v>861</v>
      </c>
    </row>
    <row r="383" spans="1:6">
      <c r="A383" s="294">
        <v>6531</v>
      </c>
      <c r="B383" t="s">
        <v>642</v>
      </c>
    </row>
    <row r="384" spans="1:6">
      <c r="A384" s="294">
        <v>6532</v>
      </c>
      <c r="B384" t="s">
        <v>862</v>
      </c>
    </row>
    <row r="385" spans="1:6">
      <c r="A385" s="294">
        <v>6611</v>
      </c>
      <c r="B385" t="s">
        <v>643</v>
      </c>
    </row>
    <row r="386" spans="1:6">
      <c r="A386" s="294">
        <v>6612</v>
      </c>
      <c r="B386" t="s">
        <v>644</v>
      </c>
    </row>
    <row r="387" spans="1:6">
      <c r="A387" s="294">
        <v>6613</v>
      </c>
      <c r="B387" t="s">
        <v>645</v>
      </c>
    </row>
    <row r="388" spans="1:6">
      <c r="A388" s="294">
        <v>6614</v>
      </c>
      <c r="B388" t="s">
        <v>863</v>
      </c>
    </row>
    <row r="389" spans="1:6">
      <c r="A389" s="294">
        <v>6615</v>
      </c>
      <c r="B389" t="s">
        <v>646</v>
      </c>
    </row>
    <row r="390" spans="1:6">
      <c r="A390" s="294">
        <v>6619</v>
      </c>
      <c r="B390" t="s">
        <v>647</v>
      </c>
    </row>
    <row r="391" spans="1:6">
      <c r="A391" s="294">
        <v>6621</v>
      </c>
      <c r="B391" t="s">
        <v>648</v>
      </c>
    </row>
    <row r="392" spans="1:6">
      <c r="A392" s="294">
        <v>6629</v>
      </c>
      <c r="B392" t="s">
        <v>649</v>
      </c>
    </row>
    <row r="393" spans="1:6">
      <c r="A393" s="294">
        <v>6630</v>
      </c>
      <c r="B393" t="s">
        <v>650</v>
      </c>
    </row>
    <row r="394" spans="1:6">
      <c r="A394" s="294">
        <v>6810</v>
      </c>
      <c r="B394" t="s">
        <v>651</v>
      </c>
    </row>
    <row r="395" spans="1:6">
      <c r="A395" s="294">
        <v>6820</v>
      </c>
      <c r="B395" s="290" t="s">
        <v>652</v>
      </c>
      <c r="C395" s="290"/>
      <c r="D395" s="290"/>
      <c r="E395" s="290"/>
      <c r="F395" s="290"/>
    </row>
    <row r="396" spans="1:6">
      <c r="A396" s="294">
        <v>6910</v>
      </c>
      <c r="B396" t="s">
        <v>653</v>
      </c>
    </row>
    <row r="397" spans="1:6">
      <c r="A397" s="294">
        <v>6920</v>
      </c>
      <c r="B397" s="290" t="s">
        <v>654</v>
      </c>
      <c r="C397" s="290"/>
      <c r="D397" s="290"/>
      <c r="E397" s="290"/>
      <c r="F397" s="290"/>
    </row>
    <row r="398" spans="1:6">
      <c r="A398" s="294">
        <v>7010</v>
      </c>
      <c r="B398" t="s">
        <v>655</v>
      </c>
    </row>
    <row r="399" spans="1:6">
      <c r="A399" s="294">
        <v>7020</v>
      </c>
      <c r="B399" t="s">
        <v>864</v>
      </c>
    </row>
    <row r="400" spans="1:6">
      <c r="A400" s="294">
        <v>7111</v>
      </c>
      <c r="B400" t="s">
        <v>865</v>
      </c>
    </row>
    <row r="401" spans="1:6">
      <c r="A401" s="294">
        <v>7112</v>
      </c>
      <c r="B401" s="290" t="s">
        <v>866</v>
      </c>
      <c r="C401" s="290"/>
      <c r="D401" s="290"/>
      <c r="E401" s="290"/>
      <c r="F401" s="290"/>
    </row>
    <row r="402" spans="1:6">
      <c r="A402" s="294">
        <v>7120</v>
      </c>
      <c r="B402" t="s">
        <v>656</v>
      </c>
    </row>
    <row r="403" spans="1:6">
      <c r="A403" s="294">
        <v>7210</v>
      </c>
      <c r="B403" s="290" t="s">
        <v>657</v>
      </c>
      <c r="C403" s="290"/>
      <c r="D403" s="290"/>
      <c r="E403" s="290"/>
      <c r="F403" s="290"/>
    </row>
    <row r="404" spans="1:6">
      <c r="A404" s="294">
        <v>7220</v>
      </c>
      <c r="B404" s="290" t="s">
        <v>658</v>
      </c>
      <c r="C404" s="290"/>
      <c r="D404" s="290"/>
      <c r="E404" s="290"/>
      <c r="F404" s="290"/>
    </row>
    <row r="405" spans="1:6">
      <c r="A405" s="294">
        <v>7310</v>
      </c>
      <c r="B405" t="s">
        <v>659</v>
      </c>
    </row>
    <row r="406" spans="1:6">
      <c r="A406" s="294">
        <v>7320</v>
      </c>
      <c r="B406" t="s">
        <v>660</v>
      </c>
    </row>
    <row r="407" spans="1:6">
      <c r="A407" s="294">
        <v>7410</v>
      </c>
      <c r="B407" t="s">
        <v>661</v>
      </c>
    </row>
    <row r="408" spans="1:6">
      <c r="A408" s="294">
        <v>7420</v>
      </c>
      <c r="B408" t="s">
        <v>662</v>
      </c>
    </row>
    <row r="409" spans="1:6">
      <c r="A409" s="294">
        <v>7490</v>
      </c>
      <c r="B409" t="s">
        <v>663</v>
      </c>
    </row>
    <row r="410" spans="1:6">
      <c r="A410" s="294">
        <v>7500</v>
      </c>
      <c r="B410" t="s">
        <v>664</v>
      </c>
    </row>
    <row r="411" spans="1:6">
      <c r="A411" s="294">
        <v>7710</v>
      </c>
      <c r="B411" t="s">
        <v>665</v>
      </c>
    </row>
    <row r="412" spans="1:6">
      <c r="A412" s="294">
        <v>7721</v>
      </c>
      <c r="B412" t="s">
        <v>666</v>
      </c>
    </row>
    <row r="413" spans="1:6">
      <c r="A413" s="294">
        <v>7722</v>
      </c>
      <c r="B413" t="s">
        <v>667</v>
      </c>
    </row>
    <row r="414" spans="1:6">
      <c r="A414" s="294">
        <v>7729</v>
      </c>
      <c r="B414" s="290" t="s">
        <v>668</v>
      </c>
      <c r="C414" s="290"/>
      <c r="D414" s="290"/>
      <c r="E414" s="290"/>
      <c r="F414" s="290"/>
    </row>
    <row r="415" spans="1:6">
      <c r="A415" s="294">
        <v>7730</v>
      </c>
      <c r="B415" s="290" t="s">
        <v>669</v>
      </c>
      <c r="C415" s="290"/>
      <c r="D415" s="290"/>
      <c r="E415" s="290"/>
      <c r="F415" s="290"/>
    </row>
    <row r="416" spans="1:6">
      <c r="A416" s="294">
        <v>7740</v>
      </c>
      <c r="B416" s="290" t="s">
        <v>670</v>
      </c>
      <c r="C416" s="290"/>
      <c r="D416" s="290"/>
      <c r="E416" s="290"/>
      <c r="F416" s="290"/>
    </row>
    <row r="417" spans="1:6">
      <c r="A417" s="294">
        <v>7810</v>
      </c>
      <c r="B417" t="s">
        <v>867</v>
      </c>
    </row>
    <row r="418" spans="1:6">
      <c r="A418" s="294">
        <v>7820</v>
      </c>
      <c r="B418" t="s">
        <v>868</v>
      </c>
    </row>
    <row r="419" spans="1:6">
      <c r="A419" s="294">
        <v>7830</v>
      </c>
      <c r="B419" t="s">
        <v>869</v>
      </c>
    </row>
    <row r="420" spans="1:6">
      <c r="A420" s="294">
        <v>7911</v>
      </c>
      <c r="B420" t="s">
        <v>671</v>
      </c>
    </row>
    <row r="421" spans="1:6">
      <c r="A421" s="294">
        <v>7912</v>
      </c>
      <c r="B421" t="s">
        <v>672</v>
      </c>
    </row>
    <row r="422" spans="1:6">
      <c r="A422" s="294">
        <v>7990</v>
      </c>
      <c r="B422" t="s">
        <v>673</v>
      </c>
    </row>
    <row r="423" spans="1:6">
      <c r="A423" s="294">
        <v>8010</v>
      </c>
      <c r="B423" t="s">
        <v>674</v>
      </c>
    </row>
    <row r="424" spans="1:6">
      <c r="A424" s="294">
        <v>8020</v>
      </c>
      <c r="B424" t="s">
        <v>675</v>
      </c>
    </row>
    <row r="425" spans="1:6">
      <c r="A425" s="294">
        <v>8030</v>
      </c>
      <c r="B425" t="s">
        <v>676</v>
      </c>
    </row>
    <row r="426" spans="1:6">
      <c r="A426" s="294">
        <v>8110</v>
      </c>
      <c r="B426" t="s">
        <v>677</v>
      </c>
    </row>
    <row r="427" spans="1:6">
      <c r="A427" s="294">
        <v>8121</v>
      </c>
      <c r="B427" t="s">
        <v>678</v>
      </c>
    </row>
    <row r="428" spans="1:6">
      <c r="A428" s="294">
        <v>8129</v>
      </c>
      <c r="B428" t="s">
        <v>679</v>
      </c>
    </row>
    <row r="429" spans="1:6">
      <c r="A429" s="294">
        <v>8130</v>
      </c>
      <c r="B429" t="s">
        <v>680</v>
      </c>
    </row>
    <row r="430" spans="1:6">
      <c r="A430" s="294">
        <v>8211</v>
      </c>
      <c r="B430" t="s">
        <v>681</v>
      </c>
    </row>
    <row r="431" spans="1:6">
      <c r="A431" s="294">
        <v>8219</v>
      </c>
      <c r="B431" s="290" t="s">
        <v>682</v>
      </c>
      <c r="C431" s="290"/>
      <c r="D431" s="290"/>
      <c r="E431" s="290"/>
      <c r="F431" s="290"/>
    </row>
    <row r="432" spans="1:6">
      <c r="A432" s="294">
        <v>8220</v>
      </c>
      <c r="B432" t="s">
        <v>683</v>
      </c>
    </row>
    <row r="433" spans="1:6">
      <c r="A433" s="294">
        <v>8230</v>
      </c>
      <c r="B433" t="s">
        <v>684</v>
      </c>
    </row>
    <row r="434" spans="1:6">
      <c r="A434" s="294">
        <v>8291</v>
      </c>
      <c r="B434" t="s">
        <v>685</v>
      </c>
    </row>
    <row r="435" spans="1:6">
      <c r="A435" s="294">
        <v>8292</v>
      </c>
      <c r="B435" t="s">
        <v>686</v>
      </c>
    </row>
    <row r="436" spans="1:6">
      <c r="A436" s="294">
        <v>8299</v>
      </c>
      <c r="B436" t="s">
        <v>687</v>
      </c>
    </row>
    <row r="437" spans="1:6">
      <c r="A437" s="294">
        <v>8411</v>
      </c>
      <c r="B437" t="s">
        <v>688</v>
      </c>
    </row>
    <row r="438" spans="1:6">
      <c r="A438" s="294">
        <v>8412</v>
      </c>
      <c r="B438" t="s">
        <v>689</v>
      </c>
    </row>
    <row r="439" spans="1:6">
      <c r="A439" s="294">
        <v>8413</v>
      </c>
      <c r="B439" s="290" t="s">
        <v>690</v>
      </c>
      <c r="C439" s="290"/>
      <c r="D439" s="290"/>
      <c r="E439" s="290"/>
      <c r="F439" s="290"/>
    </row>
    <row r="440" spans="1:6">
      <c r="A440" s="294">
        <v>8414</v>
      </c>
      <c r="B440" t="s">
        <v>691</v>
      </c>
    </row>
    <row r="441" spans="1:6">
      <c r="A441" s="294">
        <v>8415</v>
      </c>
      <c r="B441" t="s">
        <v>870</v>
      </c>
    </row>
    <row r="442" spans="1:6">
      <c r="A442" s="294">
        <v>8421</v>
      </c>
      <c r="B442" t="s">
        <v>692</v>
      </c>
    </row>
    <row r="443" spans="1:6">
      <c r="A443" s="294">
        <v>8422</v>
      </c>
      <c r="B443" t="s">
        <v>693</v>
      </c>
    </row>
    <row r="444" spans="1:6">
      <c r="A444" s="294">
        <v>8423</v>
      </c>
      <c r="B444" t="s">
        <v>694</v>
      </c>
    </row>
    <row r="445" spans="1:6">
      <c r="A445" s="294">
        <v>8424</v>
      </c>
      <c r="B445" t="s">
        <v>695</v>
      </c>
    </row>
    <row r="446" spans="1:6">
      <c r="A446" s="294">
        <v>8430</v>
      </c>
      <c r="B446" t="s">
        <v>696</v>
      </c>
    </row>
    <row r="447" spans="1:6">
      <c r="A447" s="294">
        <v>8511</v>
      </c>
      <c r="B447" t="s">
        <v>697</v>
      </c>
    </row>
    <row r="448" spans="1:6">
      <c r="A448" s="294">
        <v>8512</v>
      </c>
      <c r="B448" t="s">
        <v>698</v>
      </c>
    </row>
    <row r="449" spans="1:2">
      <c r="A449" s="294">
        <v>8513</v>
      </c>
      <c r="B449" t="s">
        <v>699</v>
      </c>
    </row>
    <row r="450" spans="1:2">
      <c r="A450" s="294">
        <v>8521</v>
      </c>
      <c r="B450" t="s">
        <v>700</v>
      </c>
    </row>
    <row r="451" spans="1:2">
      <c r="A451" s="294">
        <v>8522</v>
      </c>
      <c r="B451" t="s">
        <v>701</v>
      </c>
    </row>
    <row r="452" spans="1:2">
      <c r="A452" s="294">
        <v>8523</v>
      </c>
      <c r="B452" t="s">
        <v>871</v>
      </c>
    </row>
    <row r="453" spans="1:2">
      <c r="A453" s="294">
        <v>8530</v>
      </c>
      <c r="B453" t="s">
        <v>702</v>
      </c>
    </row>
    <row r="454" spans="1:2">
      <c r="A454" s="294">
        <v>8541</v>
      </c>
      <c r="B454" t="s">
        <v>703</v>
      </c>
    </row>
    <row r="455" spans="1:2">
      <c r="A455" s="294">
        <v>8542</v>
      </c>
      <c r="B455" t="s">
        <v>704</v>
      </c>
    </row>
    <row r="456" spans="1:2">
      <c r="A456" s="294">
        <v>8543</v>
      </c>
      <c r="B456" t="s">
        <v>705</v>
      </c>
    </row>
    <row r="457" spans="1:2">
      <c r="A457" s="294">
        <v>8544</v>
      </c>
      <c r="B457" t="s">
        <v>706</v>
      </c>
    </row>
    <row r="458" spans="1:2">
      <c r="A458" s="294">
        <v>8551</v>
      </c>
      <c r="B458" t="s">
        <v>872</v>
      </c>
    </row>
    <row r="459" spans="1:2">
      <c r="A459" s="294">
        <v>8552</v>
      </c>
      <c r="B459" t="s">
        <v>707</v>
      </c>
    </row>
    <row r="460" spans="1:2">
      <c r="A460" s="294">
        <v>8553</v>
      </c>
      <c r="B460" t="s">
        <v>708</v>
      </c>
    </row>
    <row r="461" spans="1:2">
      <c r="A461" s="294">
        <v>8559</v>
      </c>
      <c r="B461" t="s">
        <v>709</v>
      </c>
    </row>
    <row r="462" spans="1:2">
      <c r="A462" s="294">
        <v>8560</v>
      </c>
      <c r="B462" t="s">
        <v>710</v>
      </c>
    </row>
    <row r="463" spans="1:2">
      <c r="A463" s="294">
        <v>8610</v>
      </c>
      <c r="B463" t="s">
        <v>711</v>
      </c>
    </row>
    <row r="464" spans="1:2">
      <c r="A464" s="294">
        <v>8621</v>
      </c>
      <c r="B464" t="s">
        <v>712</v>
      </c>
    </row>
    <row r="465" spans="1:6">
      <c r="A465" s="294">
        <v>8622</v>
      </c>
      <c r="B465" t="s">
        <v>713</v>
      </c>
    </row>
    <row r="466" spans="1:6">
      <c r="A466" s="294">
        <v>8691</v>
      </c>
      <c r="B466" t="s">
        <v>714</v>
      </c>
    </row>
    <row r="467" spans="1:6">
      <c r="A467" s="294">
        <v>8692</v>
      </c>
      <c r="B467" t="s">
        <v>715</v>
      </c>
    </row>
    <row r="468" spans="1:6">
      <c r="A468" s="294">
        <v>8699</v>
      </c>
      <c r="B468" t="s">
        <v>716</v>
      </c>
    </row>
    <row r="469" spans="1:6">
      <c r="A469" s="294">
        <v>8710</v>
      </c>
      <c r="B469" t="s">
        <v>717</v>
      </c>
    </row>
    <row r="470" spans="1:6">
      <c r="A470" s="294">
        <v>8720</v>
      </c>
      <c r="B470" s="290" t="s">
        <v>718</v>
      </c>
      <c r="C470" s="290"/>
      <c r="D470" s="290"/>
      <c r="E470" s="290"/>
      <c r="F470" s="290"/>
    </row>
    <row r="471" spans="1:6">
      <c r="A471" s="294">
        <v>8730</v>
      </c>
      <c r="B471" s="290" t="s">
        <v>719</v>
      </c>
      <c r="C471" s="290"/>
      <c r="D471" s="290"/>
      <c r="E471" s="290"/>
      <c r="F471" s="290"/>
    </row>
    <row r="472" spans="1:6">
      <c r="A472" s="294">
        <v>8790</v>
      </c>
      <c r="B472" s="290" t="s">
        <v>720</v>
      </c>
      <c r="C472" s="290"/>
      <c r="D472" s="290"/>
      <c r="E472" s="290"/>
      <c r="F472" s="290"/>
    </row>
    <row r="473" spans="1:6">
      <c r="A473" s="294">
        <v>8810</v>
      </c>
      <c r="B473" s="290" t="s">
        <v>721</v>
      </c>
      <c r="C473" s="290"/>
      <c r="D473" s="290"/>
      <c r="E473" s="290"/>
      <c r="F473" s="290"/>
    </row>
    <row r="474" spans="1:6">
      <c r="A474" s="294">
        <v>8891</v>
      </c>
      <c r="B474" t="s">
        <v>873</v>
      </c>
    </row>
    <row r="475" spans="1:6">
      <c r="A475" s="294">
        <v>8899</v>
      </c>
      <c r="B475" t="s">
        <v>874</v>
      </c>
    </row>
    <row r="476" spans="1:6">
      <c r="A476" s="294">
        <v>9001</v>
      </c>
      <c r="B476" t="s">
        <v>722</v>
      </c>
    </row>
    <row r="477" spans="1:6">
      <c r="A477" s="294">
        <v>9002</v>
      </c>
      <c r="B477" t="s">
        <v>723</v>
      </c>
    </row>
    <row r="478" spans="1:6">
      <c r="A478" s="294">
        <v>9003</v>
      </c>
      <c r="B478" t="s">
        <v>724</v>
      </c>
    </row>
    <row r="479" spans="1:6">
      <c r="A479" s="294">
        <v>9004</v>
      </c>
      <c r="B479" t="s">
        <v>725</v>
      </c>
    </row>
    <row r="480" spans="1:6">
      <c r="A480" s="294">
        <v>9005</v>
      </c>
      <c r="B480" t="s">
        <v>726</v>
      </c>
    </row>
    <row r="481" spans="1:6">
      <c r="A481" s="294">
        <v>9006</v>
      </c>
      <c r="B481" t="s">
        <v>727</v>
      </c>
    </row>
    <row r="482" spans="1:6">
      <c r="A482" s="294">
        <v>9007</v>
      </c>
      <c r="B482" t="s">
        <v>728</v>
      </c>
    </row>
    <row r="483" spans="1:6">
      <c r="A483" s="294">
        <v>9008</v>
      </c>
      <c r="B483" t="s">
        <v>875</v>
      </c>
    </row>
    <row r="484" spans="1:6">
      <c r="A484" s="294">
        <v>9101</v>
      </c>
      <c r="B484" t="s">
        <v>729</v>
      </c>
    </row>
    <row r="485" spans="1:6">
      <c r="A485" s="294">
        <v>9102</v>
      </c>
      <c r="B485" s="290" t="s">
        <v>730</v>
      </c>
      <c r="C485" s="290"/>
      <c r="D485" s="290"/>
      <c r="E485" s="290"/>
      <c r="F485" s="290"/>
    </row>
    <row r="486" spans="1:6">
      <c r="A486" s="294">
        <v>9103</v>
      </c>
      <c r="B486" t="s">
        <v>731</v>
      </c>
    </row>
    <row r="487" spans="1:6">
      <c r="A487" s="294">
        <v>9200</v>
      </c>
      <c r="B487" t="s">
        <v>732</v>
      </c>
    </row>
    <row r="488" spans="1:6">
      <c r="A488" s="294">
        <v>9311</v>
      </c>
      <c r="B488" t="s">
        <v>733</v>
      </c>
    </row>
    <row r="489" spans="1:6">
      <c r="A489" s="294">
        <v>9312</v>
      </c>
      <c r="B489" t="s">
        <v>734</v>
      </c>
    </row>
    <row r="490" spans="1:6">
      <c r="A490" s="294">
        <v>9319</v>
      </c>
      <c r="B490" t="s">
        <v>735</v>
      </c>
    </row>
    <row r="491" spans="1:6">
      <c r="A491" s="294">
        <v>9321</v>
      </c>
      <c r="B491" t="s">
        <v>736</v>
      </c>
    </row>
    <row r="492" spans="1:6">
      <c r="A492" s="294">
        <v>9329</v>
      </c>
      <c r="B492" t="s">
        <v>737</v>
      </c>
    </row>
    <row r="493" spans="1:6">
      <c r="A493" s="294">
        <v>9411</v>
      </c>
      <c r="B493" t="s">
        <v>738</v>
      </c>
    </row>
    <row r="494" spans="1:6">
      <c r="A494" s="294">
        <v>9412</v>
      </c>
      <c r="B494" t="s">
        <v>739</v>
      </c>
    </row>
    <row r="495" spans="1:6">
      <c r="A495" s="294">
        <v>9420</v>
      </c>
      <c r="B495" t="s">
        <v>740</v>
      </c>
    </row>
    <row r="496" spans="1:6">
      <c r="A496" s="294">
        <v>9491</v>
      </c>
      <c r="B496" t="s">
        <v>741</v>
      </c>
    </row>
    <row r="497" spans="1:6">
      <c r="A497" s="294">
        <v>9492</v>
      </c>
      <c r="B497" t="s">
        <v>742</v>
      </c>
    </row>
    <row r="498" spans="1:6">
      <c r="A498" s="294">
        <v>9499</v>
      </c>
      <c r="B498" t="s">
        <v>743</v>
      </c>
    </row>
    <row r="499" spans="1:6">
      <c r="A499" s="294">
        <v>9511</v>
      </c>
      <c r="B499" t="s">
        <v>744</v>
      </c>
    </row>
    <row r="500" spans="1:6">
      <c r="A500" s="294">
        <v>9512</v>
      </c>
      <c r="B500" t="s">
        <v>745</v>
      </c>
    </row>
    <row r="501" spans="1:6">
      <c r="A501" s="294">
        <v>9521</v>
      </c>
      <c r="B501" t="s">
        <v>746</v>
      </c>
    </row>
    <row r="502" spans="1:6">
      <c r="A502" s="294">
        <v>9522</v>
      </c>
      <c r="B502" t="s">
        <v>747</v>
      </c>
    </row>
    <row r="503" spans="1:6">
      <c r="A503" s="294">
        <v>9523</v>
      </c>
      <c r="B503" t="s">
        <v>748</v>
      </c>
    </row>
    <row r="504" spans="1:6">
      <c r="A504" s="294">
        <v>9524</v>
      </c>
      <c r="B504" t="s">
        <v>749</v>
      </c>
    </row>
    <row r="505" spans="1:6">
      <c r="A505" s="294">
        <v>9529</v>
      </c>
      <c r="B505" s="290" t="s">
        <v>750</v>
      </c>
      <c r="C505" s="290"/>
      <c r="D505" s="290"/>
      <c r="E505" s="290"/>
      <c r="F505" s="290"/>
    </row>
    <row r="506" spans="1:6">
      <c r="A506" s="294">
        <v>9601</v>
      </c>
      <c r="B506" t="s">
        <v>751</v>
      </c>
    </row>
    <row r="507" spans="1:6">
      <c r="A507" s="294">
        <v>9602</v>
      </c>
      <c r="B507" t="s">
        <v>752</v>
      </c>
    </row>
    <row r="508" spans="1:6">
      <c r="A508" s="294">
        <v>9603</v>
      </c>
      <c r="B508" t="s">
        <v>753</v>
      </c>
    </row>
    <row r="509" spans="1:6">
      <c r="A509" s="294">
        <v>9609</v>
      </c>
      <c r="B509" t="s">
        <v>754</v>
      </c>
    </row>
    <row r="510" spans="1:6">
      <c r="A510" s="294">
        <v>9700</v>
      </c>
      <c r="B510" s="290" t="s">
        <v>755</v>
      </c>
      <c r="C510" s="290"/>
      <c r="D510" s="290"/>
      <c r="E510" s="290"/>
      <c r="F510" s="290"/>
    </row>
    <row r="511" spans="1:6">
      <c r="A511" s="294">
        <v>9810</v>
      </c>
      <c r="B511" s="290" t="s">
        <v>756</v>
      </c>
      <c r="C511" s="290"/>
      <c r="D511" s="290"/>
      <c r="E511" s="290"/>
      <c r="F511" s="290"/>
    </row>
    <row r="512" spans="1:6">
      <c r="A512" s="294">
        <v>9820</v>
      </c>
      <c r="B512" s="290" t="s">
        <v>757</v>
      </c>
      <c r="C512" s="290"/>
      <c r="D512" s="290"/>
      <c r="E512" s="290"/>
      <c r="F512" s="290"/>
    </row>
    <row r="513" spans="1:2">
      <c r="A513" s="294">
        <v>9900</v>
      </c>
      <c r="B513" t="s">
        <v>758</v>
      </c>
    </row>
    <row r="514" spans="1:2">
      <c r="A514" s="294">
        <v>10</v>
      </c>
      <c r="B514" t="s">
        <v>759</v>
      </c>
    </row>
    <row r="515" spans="1:2">
      <c r="A515" s="294">
        <v>20</v>
      </c>
      <c r="B515" t="s">
        <v>876</v>
      </c>
    </row>
    <row r="516" spans="1:2">
      <c r="A516" s="294">
        <v>81</v>
      </c>
      <c r="B516" t="s">
        <v>877</v>
      </c>
    </row>
    <row r="517" spans="1:2">
      <c r="A517" s="294">
        <v>82</v>
      </c>
      <c r="B517" t="s">
        <v>760</v>
      </c>
    </row>
    <row r="518" spans="1:2">
      <c r="A518" s="294">
        <v>90</v>
      </c>
      <c r="B518" t="s">
        <v>878</v>
      </c>
    </row>
    <row r="519" spans="1:2">
      <c r="A519" s="294"/>
    </row>
    <row r="520" spans="1:2">
      <c r="A520" s="294"/>
    </row>
    <row r="521" spans="1:2">
      <c r="A521" s="294"/>
    </row>
    <row r="522" spans="1:2">
      <c r="A522" s="294"/>
    </row>
    <row r="523" spans="1:2">
      <c r="A523" s="294"/>
    </row>
    <row r="524" spans="1:2">
      <c r="A524" s="294"/>
    </row>
    <row r="525" spans="1:2">
      <c r="A525" s="294"/>
    </row>
    <row r="526" spans="1:2">
      <c r="A526" s="294"/>
    </row>
    <row r="527" spans="1:2">
      <c r="A527" s="294"/>
    </row>
    <row r="528" spans="1:2">
      <c r="A528" s="294"/>
    </row>
    <row r="529" spans="1:1">
      <c r="A529" s="294"/>
    </row>
    <row r="530" spans="1:1">
      <c r="A530" s="294"/>
    </row>
    <row r="531" spans="1:1">
      <c r="A531" s="294"/>
    </row>
    <row r="532" spans="1:1">
      <c r="A532" s="294"/>
    </row>
    <row r="533" spans="1:1">
      <c r="A533" s="294"/>
    </row>
    <row r="534" spans="1:1">
      <c r="A534" s="294"/>
    </row>
    <row r="535" spans="1:1">
      <c r="A535" s="294"/>
    </row>
    <row r="536" spans="1:1">
      <c r="A536" s="294"/>
    </row>
    <row r="537" spans="1:1">
      <c r="A537" s="294"/>
    </row>
    <row r="538" spans="1:1">
      <c r="A538" s="294"/>
    </row>
    <row r="539" spans="1:1">
      <c r="A539" s="294"/>
    </row>
    <row r="540" spans="1:1">
      <c r="A540" s="294"/>
    </row>
    <row r="541" spans="1:1">
      <c r="A541" s="294"/>
    </row>
  </sheetData>
  <sheetProtection algorithmName="SHA-512" hashValue="CGBv5jvpZhkUgLBIOiE85DSG6Wz9NMGtpUEA5kfDHI6rhugOmG08KhSAcslCdaokkSJ9ZwzGrK7cReyX8UKjAA==" saltValue="QSLXLdyrB3fGhuqK/eFtZA==" spinCount="100000" sheet="1" objects="1" scenarios="1" selectLockedCells="1"/>
  <mergeCells count="3">
    <mergeCell ref="E7:G10"/>
    <mergeCell ref="B6:B11"/>
    <mergeCell ref="C7:C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J32"/>
  <sheetViews>
    <sheetView showRowColHeaders="0" zoomScale="120" zoomScaleNormal="120" workbookViewId="0">
      <selection activeCell="B32" sqref="B32"/>
    </sheetView>
  </sheetViews>
  <sheetFormatPr baseColWidth="10" defaultColWidth="0" defaultRowHeight="12.75" zeroHeight="1"/>
  <cols>
    <col min="1" max="1" width="6.7109375" style="290" customWidth="1"/>
    <col min="2" max="2" width="10.7109375" style="290" customWidth="1"/>
    <col min="3" max="3" width="16.7109375" style="290" customWidth="1"/>
    <col min="4" max="4" width="3.7109375" style="290" customWidth="1"/>
    <col min="5" max="5" width="10.7109375" style="290" customWidth="1"/>
    <col min="6" max="6" width="16.7109375" style="290" customWidth="1"/>
    <col min="7" max="7" width="3.7109375" style="290" customWidth="1"/>
    <col min="8" max="8" width="10.7109375" style="290" customWidth="1"/>
    <col min="9" max="9" width="16.7109375" style="290" customWidth="1"/>
    <col min="10" max="10" width="3.5703125" style="290" customWidth="1"/>
    <col min="11" max="16384" width="11.42578125" hidden="1"/>
  </cols>
  <sheetData>
    <row r="1" spans="1:10">
      <c r="A1" s="302"/>
      <c r="B1" s="302"/>
      <c r="C1" s="302"/>
      <c r="D1" s="302"/>
      <c r="E1" s="302"/>
      <c r="F1" s="302"/>
      <c r="G1" s="302"/>
      <c r="H1" s="302"/>
      <c r="I1" s="302"/>
      <c r="J1" s="302"/>
    </row>
    <row r="2" spans="1:10" ht="12.75" customHeight="1">
      <c r="A2" s="302"/>
      <c r="B2" s="624" t="s">
        <v>1201</v>
      </c>
      <c r="C2" s="624"/>
      <c r="D2" s="624"/>
      <c r="E2" s="624"/>
      <c r="F2" s="624"/>
      <c r="G2" s="624"/>
      <c r="H2" s="624"/>
      <c r="I2" s="624"/>
      <c r="J2" s="302"/>
    </row>
    <row r="3" spans="1:10">
      <c r="A3" s="302"/>
      <c r="B3" s="624"/>
      <c r="C3" s="624"/>
      <c r="D3" s="624"/>
      <c r="E3" s="624"/>
      <c r="F3" s="624"/>
      <c r="G3" s="624"/>
      <c r="H3" s="624"/>
      <c r="I3" s="624"/>
      <c r="J3" s="302"/>
    </row>
    <row r="4" spans="1:10">
      <c r="A4" s="302"/>
      <c r="B4" s="624"/>
      <c r="C4" s="624"/>
      <c r="D4" s="624"/>
      <c r="E4" s="624"/>
      <c r="F4" s="624"/>
      <c r="G4" s="624"/>
      <c r="H4" s="624"/>
      <c r="I4" s="624"/>
      <c r="J4" s="302"/>
    </row>
    <row r="5" spans="1:10">
      <c r="A5" s="302"/>
      <c r="B5" s="624"/>
      <c r="C5" s="624"/>
      <c r="D5" s="624"/>
      <c r="E5" s="624"/>
      <c r="F5" s="624"/>
      <c r="G5" s="624"/>
      <c r="H5" s="624"/>
      <c r="I5" s="624"/>
      <c r="J5" s="302"/>
    </row>
    <row r="6" spans="1:10" ht="13.5" thickBot="1">
      <c r="A6" s="302"/>
      <c r="B6" s="624"/>
      <c r="C6" s="624"/>
      <c r="D6" s="624"/>
      <c r="E6" s="624"/>
      <c r="F6" s="624"/>
      <c r="G6" s="624"/>
      <c r="H6" s="624"/>
      <c r="I6" s="624"/>
      <c r="J6" s="302"/>
    </row>
    <row r="7" spans="1:10" hidden="1">
      <c r="A7" s="302"/>
      <c r="B7" s="302"/>
      <c r="C7" s="302"/>
      <c r="D7" s="302"/>
      <c r="E7" s="302"/>
      <c r="F7" s="302"/>
      <c r="G7" s="302"/>
      <c r="H7" s="302"/>
      <c r="I7" s="302"/>
      <c r="J7" s="302"/>
    </row>
    <row r="8" spans="1:10" ht="15">
      <c r="A8" s="302"/>
      <c r="B8" s="628" t="s">
        <v>768</v>
      </c>
      <c r="C8" s="629"/>
      <c r="D8" s="302"/>
      <c r="E8" s="628" t="s">
        <v>768</v>
      </c>
      <c r="F8" s="629"/>
      <c r="G8" s="302"/>
      <c r="H8" s="628" t="s">
        <v>768</v>
      </c>
      <c r="I8" s="629"/>
      <c r="J8" s="302"/>
    </row>
    <row r="9" spans="1:10" ht="31.5" customHeight="1">
      <c r="A9" s="302"/>
      <c r="B9" s="509" t="s">
        <v>767</v>
      </c>
      <c r="C9" s="625" t="s">
        <v>815</v>
      </c>
      <c r="D9" s="302"/>
      <c r="E9" s="509" t="s">
        <v>767</v>
      </c>
      <c r="F9" s="625" t="s">
        <v>815</v>
      </c>
      <c r="G9" s="302"/>
      <c r="H9" s="509" t="s">
        <v>767</v>
      </c>
      <c r="I9" s="625" t="s">
        <v>816</v>
      </c>
      <c r="J9" s="302"/>
    </row>
    <row r="10" spans="1:10" ht="13.5" thickBot="1">
      <c r="A10" s="302"/>
      <c r="B10" s="510" t="s">
        <v>766</v>
      </c>
      <c r="C10" s="626"/>
      <c r="D10" s="302"/>
      <c r="E10" s="510" t="s">
        <v>766</v>
      </c>
      <c r="F10" s="626"/>
      <c r="G10" s="302"/>
      <c r="H10" s="510" t="s">
        <v>766</v>
      </c>
      <c r="I10" s="626"/>
      <c r="J10" s="302"/>
    </row>
    <row r="11" spans="1:10">
      <c r="A11" s="1332" t="s">
        <v>1202</v>
      </c>
      <c r="B11" s="572" t="s">
        <v>880</v>
      </c>
      <c r="C11" s="573">
        <v>46246</v>
      </c>
      <c r="D11" s="302"/>
      <c r="E11" s="578" t="s">
        <v>807</v>
      </c>
      <c r="F11" s="579">
        <v>46272</v>
      </c>
      <c r="G11" s="302"/>
      <c r="H11" s="580" t="s">
        <v>806</v>
      </c>
      <c r="I11" s="581">
        <v>46297</v>
      </c>
      <c r="J11" s="302"/>
    </row>
    <row r="12" spans="1:10">
      <c r="A12" s="1332" t="s">
        <v>1202</v>
      </c>
      <c r="B12" s="574" t="s">
        <v>881</v>
      </c>
      <c r="C12" s="575">
        <f>+C11+1</f>
        <v>46247</v>
      </c>
      <c r="D12" s="302"/>
      <c r="E12" s="576" t="s">
        <v>805</v>
      </c>
      <c r="F12" s="577">
        <f>+F11+1</f>
        <v>46273</v>
      </c>
      <c r="G12" s="302"/>
      <c r="H12" s="582" t="s">
        <v>804</v>
      </c>
      <c r="I12" s="583">
        <v>46300</v>
      </c>
      <c r="J12" s="302"/>
    </row>
    <row r="13" spans="1:10">
      <c r="A13" s="1332" t="s">
        <v>1202</v>
      </c>
      <c r="B13" s="574" t="s">
        <v>882</v>
      </c>
      <c r="C13" s="575">
        <f t="shared" ref="C13:C27" si="0">+C12+1</f>
        <v>46248</v>
      </c>
      <c r="D13" s="302"/>
      <c r="E13" s="576" t="s">
        <v>803</v>
      </c>
      <c r="F13" s="577">
        <f t="shared" ref="F13:F25" si="1">+F12+1</f>
        <v>46274</v>
      </c>
      <c r="G13" s="302"/>
      <c r="H13" s="582" t="s">
        <v>802</v>
      </c>
      <c r="I13" s="583">
        <f>+I12+1</f>
        <v>46301</v>
      </c>
      <c r="J13" s="302"/>
    </row>
    <row r="14" spans="1:10">
      <c r="A14" s="1332" t="s">
        <v>1202</v>
      </c>
      <c r="B14" s="574" t="s">
        <v>883</v>
      </c>
      <c r="C14" s="575">
        <v>46252</v>
      </c>
      <c r="D14" s="302"/>
      <c r="E14" s="576" t="s">
        <v>801</v>
      </c>
      <c r="F14" s="577">
        <f t="shared" si="1"/>
        <v>46275</v>
      </c>
      <c r="G14" s="302"/>
      <c r="H14" s="582" t="s">
        <v>800</v>
      </c>
      <c r="I14" s="583">
        <f t="shared" ref="I14:I25" si="2">+I13+1</f>
        <v>46302</v>
      </c>
      <c r="J14" s="302"/>
    </row>
    <row r="15" spans="1:10">
      <c r="A15" s="1332" t="s">
        <v>1202</v>
      </c>
      <c r="B15" s="574" t="s">
        <v>884</v>
      </c>
      <c r="C15" s="575">
        <f t="shared" si="0"/>
        <v>46253</v>
      </c>
      <c r="D15" s="302"/>
      <c r="E15" s="576" t="s">
        <v>799</v>
      </c>
      <c r="F15" s="577">
        <f t="shared" si="1"/>
        <v>46276</v>
      </c>
      <c r="G15" s="302"/>
      <c r="H15" s="582" t="s">
        <v>798</v>
      </c>
      <c r="I15" s="583">
        <f t="shared" si="2"/>
        <v>46303</v>
      </c>
      <c r="J15" s="302"/>
    </row>
    <row r="16" spans="1:10">
      <c r="A16" s="1332" t="s">
        <v>1202</v>
      </c>
      <c r="B16" s="574" t="s">
        <v>789</v>
      </c>
      <c r="C16" s="575">
        <f t="shared" si="0"/>
        <v>46254</v>
      </c>
      <c r="D16" s="302"/>
      <c r="E16" s="576" t="s">
        <v>797</v>
      </c>
      <c r="F16" s="577">
        <v>46279</v>
      </c>
      <c r="G16" s="302"/>
      <c r="H16" s="582" t="s">
        <v>796</v>
      </c>
      <c r="I16" s="583">
        <f t="shared" si="2"/>
        <v>46304</v>
      </c>
      <c r="J16" s="302"/>
    </row>
    <row r="17" spans="1:10">
      <c r="A17" s="1332" t="s">
        <v>1202</v>
      </c>
      <c r="B17" s="574" t="s">
        <v>786</v>
      </c>
      <c r="C17" s="575">
        <f t="shared" si="0"/>
        <v>46255</v>
      </c>
      <c r="D17" s="302"/>
      <c r="E17" s="576" t="s">
        <v>795</v>
      </c>
      <c r="F17" s="577">
        <f t="shared" si="1"/>
        <v>46280</v>
      </c>
      <c r="G17" s="302"/>
      <c r="H17" s="582" t="s">
        <v>794</v>
      </c>
      <c r="I17" s="583">
        <v>46308</v>
      </c>
      <c r="J17" s="302"/>
    </row>
    <row r="18" spans="1:10">
      <c r="A18" s="1332" t="s">
        <v>1202</v>
      </c>
      <c r="B18" s="574" t="s">
        <v>783</v>
      </c>
      <c r="C18" s="575">
        <v>46258</v>
      </c>
      <c r="D18" s="302"/>
      <c r="E18" s="576" t="s">
        <v>793</v>
      </c>
      <c r="F18" s="577">
        <f t="shared" si="1"/>
        <v>46281</v>
      </c>
      <c r="G18" s="302"/>
      <c r="H18" s="582" t="s">
        <v>792</v>
      </c>
      <c r="I18" s="583">
        <f>+I17+1</f>
        <v>46309</v>
      </c>
      <c r="J18" s="302"/>
    </row>
    <row r="19" spans="1:10">
      <c r="A19" s="1332" t="s">
        <v>1202</v>
      </c>
      <c r="B19" s="574" t="s">
        <v>780</v>
      </c>
      <c r="C19" s="575">
        <f t="shared" si="0"/>
        <v>46259</v>
      </c>
      <c r="D19" s="302"/>
      <c r="E19" s="576" t="s">
        <v>791</v>
      </c>
      <c r="F19" s="577">
        <f t="shared" si="1"/>
        <v>46282</v>
      </c>
      <c r="G19" s="302"/>
      <c r="H19" s="582" t="s">
        <v>790</v>
      </c>
      <c r="I19" s="583">
        <f t="shared" si="2"/>
        <v>46310</v>
      </c>
      <c r="J19" s="302"/>
    </row>
    <row r="20" spans="1:10">
      <c r="A20" s="1332" t="s">
        <v>1202</v>
      </c>
      <c r="B20" s="574" t="s">
        <v>777</v>
      </c>
      <c r="C20" s="575">
        <f t="shared" si="0"/>
        <v>46260</v>
      </c>
      <c r="D20" s="302"/>
      <c r="E20" s="576" t="s">
        <v>788</v>
      </c>
      <c r="F20" s="577">
        <f t="shared" si="1"/>
        <v>46283</v>
      </c>
      <c r="G20" s="302"/>
      <c r="H20" s="582" t="s">
        <v>787</v>
      </c>
      <c r="I20" s="583">
        <f t="shared" si="2"/>
        <v>46311</v>
      </c>
      <c r="J20" s="302"/>
    </row>
    <row r="21" spans="1:10">
      <c r="A21" s="1332" t="s">
        <v>1202</v>
      </c>
      <c r="B21" s="574" t="s">
        <v>774</v>
      </c>
      <c r="C21" s="575">
        <f t="shared" si="0"/>
        <v>46261</v>
      </c>
      <c r="D21" s="302"/>
      <c r="E21" s="576" t="s">
        <v>785</v>
      </c>
      <c r="F21" s="577">
        <v>46286</v>
      </c>
      <c r="G21" s="302"/>
      <c r="H21" s="582" t="s">
        <v>784</v>
      </c>
      <c r="I21" s="583">
        <v>46314</v>
      </c>
      <c r="J21" s="302"/>
    </row>
    <row r="22" spans="1:10">
      <c r="A22" s="1332" t="s">
        <v>1202</v>
      </c>
      <c r="B22" s="574" t="s">
        <v>771</v>
      </c>
      <c r="C22" s="575">
        <f t="shared" si="0"/>
        <v>46262</v>
      </c>
      <c r="D22" s="302"/>
      <c r="E22" s="576" t="s">
        <v>782</v>
      </c>
      <c r="F22" s="577">
        <f t="shared" si="1"/>
        <v>46287</v>
      </c>
      <c r="G22" s="302"/>
      <c r="H22" s="582" t="s">
        <v>781</v>
      </c>
      <c r="I22" s="583">
        <f>+I21+1</f>
        <v>46315</v>
      </c>
      <c r="J22" s="302"/>
    </row>
    <row r="23" spans="1:10">
      <c r="A23" s="1332" t="s">
        <v>1202</v>
      </c>
      <c r="B23" s="574" t="s">
        <v>813</v>
      </c>
      <c r="C23" s="575">
        <v>46265</v>
      </c>
      <c r="D23" s="302"/>
      <c r="E23" s="576" t="s">
        <v>779</v>
      </c>
      <c r="F23" s="577">
        <f t="shared" si="1"/>
        <v>46288</v>
      </c>
      <c r="G23" s="302"/>
      <c r="H23" s="582" t="s">
        <v>778</v>
      </c>
      <c r="I23" s="583">
        <f t="shared" si="2"/>
        <v>46316</v>
      </c>
      <c r="J23" s="302"/>
    </row>
    <row r="24" spans="1:10">
      <c r="A24" s="302"/>
      <c r="B24" s="576" t="s">
        <v>812</v>
      </c>
      <c r="C24" s="577">
        <f t="shared" si="0"/>
        <v>46266</v>
      </c>
      <c r="D24" s="302"/>
      <c r="E24" s="576" t="s">
        <v>776</v>
      </c>
      <c r="F24" s="577">
        <f t="shared" si="1"/>
        <v>46289</v>
      </c>
      <c r="G24" s="302"/>
      <c r="H24" s="582" t="s">
        <v>775</v>
      </c>
      <c r="I24" s="583">
        <f t="shared" si="2"/>
        <v>46317</v>
      </c>
      <c r="J24" s="302"/>
    </row>
    <row r="25" spans="1:10">
      <c r="A25" s="302"/>
      <c r="B25" s="576" t="s">
        <v>811</v>
      </c>
      <c r="C25" s="577">
        <f t="shared" si="0"/>
        <v>46267</v>
      </c>
      <c r="D25" s="302"/>
      <c r="E25" s="576" t="s">
        <v>773</v>
      </c>
      <c r="F25" s="577">
        <f t="shared" si="1"/>
        <v>46290</v>
      </c>
      <c r="G25" s="302"/>
      <c r="H25" s="582" t="s">
        <v>772</v>
      </c>
      <c r="I25" s="583">
        <f t="shared" si="2"/>
        <v>46318</v>
      </c>
      <c r="J25" s="302"/>
    </row>
    <row r="26" spans="1:10">
      <c r="A26" s="302"/>
      <c r="B26" s="576" t="s">
        <v>810</v>
      </c>
      <c r="C26" s="577">
        <f t="shared" si="0"/>
        <v>46268</v>
      </c>
      <c r="D26" s="302"/>
      <c r="E26" s="576" t="s">
        <v>770</v>
      </c>
      <c r="F26" s="577">
        <v>46293</v>
      </c>
      <c r="G26" s="302"/>
      <c r="H26" s="582" t="s">
        <v>769</v>
      </c>
      <c r="I26" s="583">
        <v>46321</v>
      </c>
      <c r="J26" s="302"/>
    </row>
    <row r="27" spans="1:10">
      <c r="A27" s="302"/>
      <c r="B27" s="576" t="s">
        <v>809</v>
      </c>
      <c r="C27" s="577">
        <f t="shared" si="0"/>
        <v>46269</v>
      </c>
      <c r="D27" s="302"/>
      <c r="E27" s="582" t="s">
        <v>808</v>
      </c>
      <c r="F27" s="583">
        <v>46296</v>
      </c>
      <c r="G27" s="302"/>
      <c r="H27" s="302"/>
      <c r="I27" s="302"/>
      <c r="J27" s="302"/>
    </row>
    <row r="28" spans="1:10">
      <c r="A28" s="302"/>
      <c r="B28" s="302"/>
      <c r="C28" s="302"/>
      <c r="D28" s="302"/>
      <c r="E28" s="302"/>
      <c r="F28" s="302"/>
      <c r="G28" s="302"/>
      <c r="H28" s="302"/>
      <c r="I28" s="302"/>
      <c r="J28" s="302"/>
    </row>
    <row r="29" spans="1:10">
      <c r="A29" s="302"/>
      <c r="B29" s="630" t="s">
        <v>814</v>
      </c>
      <c r="C29" s="630"/>
      <c r="D29" s="630"/>
      <c r="E29" s="630"/>
      <c r="F29" s="630"/>
      <c r="G29" s="630"/>
      <c r="H29" s="630"/>
      <c r="I29" s="630"/>
      <c r="J29" s="302"/>
    </row>
    <row r="30" spans="1:10">
      <c r="A30" s="302"/>
      <c r="B30" s="302"/>
      <c r="C30" s="302"/>
      <c r="D30" s="302"/>
      <c r="E30" s="302"/>
      <c r="F30" s="302"/>
      <c r="G30" s="302"/>
      <c r="H30" s="302"/>
      <c r="I30" s="302"/>
      <c r="J30" s="302"/>
    </row>
    <row r="31" spans="1:10" ht="84.95" customHeight="1">
      <c r="A31" s="302"/>
      <c r="B31" s="627" t="s">
        <v>1203</v>
      </c>
      <c r="C31" s="627"/>
      <c r="D31" s="627"/>
      <c r="E31" s="627"/>
      <c r="F31" s="627"/>
      <c r="G31" s="627"/>
      <c r="H31" s="627"/>
      <c r="I31" s="627"/>
      <c r="J31" s="302"/>
    </row>
    <row r="32" spans="1:10">
      <c r="A32" s="302"/>
      <c r="B32" s="302"/>
      <c r="C32" s="302"/>
      <c r="D32" s="302"/>
      <c r="E32" s="302"/>
      <c r="F32" s="302"/>
      <c r="G32" s="302"/>
      <c r="H32" s="302"/>
      <c r="I32" s="302"/>
      <c r="J32" s="302"/>
    </row>
  </sheetData>
  <sheetProtection algorithmName="SHA-512" hashValue="v4KzAoa3mJFTPT0IEj7wqg+MGQ2XlNhmAxJVbyivYc/1n1HsIvjnWLb9tFKajrdn4H4Wb9/umxjr8yUEaz6gHA==" saltValue="U03P1bUiSw/PXre0NTa0/w==" spinCount="100000" sheet="1" objects="1" scenarios="1" selectLockedCells="1"/>
  <mergeCells count="9">
    <mergeCell ref="B2:I6"/>
    <mergeCell ref="C9:C10"/>
    <mergeCell ref="F9:F10"/>
    <mergeCell ref="I9:I10"/>
    <mergeCell ref="B31:I31"/>
    <mergeCell ref="B8:C8"/>
    <mergeCell ref="E8:F8"/>
    <mergeCell ref="H8:I8"/>
    <mergeCell ref="B29:I29"/>
  </mergeCells>
  <pageMargins left="0.39370078740157483" right="0.39370078740157483" top="0.78740157480314965" bottom="0.74803149606299213" header="0.31496062992125984" footer="0.31496062992125984"/>
  <pageSetup paperSize="9" scale="96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Q94"/>
  <sheetViews>
    <sheetView showGridLines="0" showRowColHeaders="0" zoomScale="140" zoomScaleNormal="140" workbookViewId="0">
      <pane xSplit="1" ySplit="7" topLeftCell="B65" activePane="bottomRight" state="frozen"/>
      <selection pane="topRight" activeCell="B1" sqref="B1"/>
      <selection pane="bottomLeft" activeCell="A8" sqref="A8"/>
      <selection pane="bottomRight" activeCell="L14" sqref="L14:N14"/>
    </sheetView>
  </sheetViews>
  <sheetFormatPr baseColWidth="10" defaultRowHeight="12.75"/>
  <cols>
    <col min="1" max="1" width="1.7109375" customWidth="1"/>
    <col min="2" max="2" width="36.7109375" customWidth="1"/>
    <col min="3" max="3" width="1.7109375" customWidth="1"/>
    <col min="4" max="4" width="8.85546875" customWidth="1"/>
    <col min="5" max="5" width="1.7109375" customWidth="1"/>
    <col min="6" max="6" width="8.7109375" customWidth="1"/>
    <col min="7" max="7" width="1.7109375" customWidth="1"/>
    <col min="8" max="8" width="8.7109375" customWidth="1"/>
    <col min="9" max="9" width="1.7109375" customWidth="1"/>
    <col min="10" max="10" width="8.7109375" customWidth="1"/>
    <col min="11" max="11" width="1.7109375" customWidth="1"/>
    <col min="12" max="12" width="10.5703125" customWidth="1"/>
    <col min="13" max="13" width="1.7109375" customWidth="1"/>
    <col min="14" max="14" width="8.7109375" customWidth="1"/>
    <col min="15" max="15" width="1.7109375" customWidth="1"/>
    <col min="16" max="16" width="3.7109375" customWidth="1"/>
  </cols>
  <sheetData>
    <row r="1" spans="1:16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5.75">
      <c r="A2" s="230"/>
      <c r="B2" s="633" t="s">
        <v>141</v>
      </c>
      <c r="C2" s="633"/>
      <c r="D2" s="633"/>
      <c r="E2" s="633"/>
      <c r="F2" s="633"/>
      <c r="G2" s="633"/>
      <c r="H2" s="633"/>
      <c r="I2" s="633"/>
      <c r="J2" s="633"/>
      <c r="K2" s="633"/>
      <c r="L2" s="230"/>
      <c r="M2" s="230"/>
      <c r="N2" s="634" t="s">
        <v>45</v>
      </c>
      <c r="O2" s="634"/>
      <c r="P2" s="96"/>
    </row>
    <row r="3" spans="1:16" ht="15.75">
      <c r="A3" s="230"/>
      <c r="B3" s="633" t="s">
        <v>190</v>
      </c>
      <c r="C3" s="633"/>
      <c r="D3" s="633"/>
      <c r="E3" s="633"/>
      <c r="F3" s="633"/>
      <c r="G3" s="633"/>
      <c r="H3" s="633"/>
      <c r="I3" s="633"/>
      <c r="J3" s="633"/>
      <c r="K3" s="633"/>
      <c r="L3" s="230"/>
      <c r="M3" s="230"/>
      <c r="N3" s="635">
        <v>210</v>
      </c>
      <c r="O3" s="635"/>
      <c r="P3" s="96"/>
    </row>
    <row r="4" spans="1:16" ht="15.75">
      <c r="A4" s="230"/>
      <c r="B4" s="633" t="s">
        <v>188</v>
      </c>
      <c r="C4" s="633"/>
      <c r="D4" s="633"/>
      <c r="E4" s="633"/>
      <c r="F4" s="633"/>
      <c r="G4" s="633"/>
      <c r="H4" s="633"/>
      <c r="I4" s="633"/>
      <c r="J4" s="633"/>
      <c r="K4" s="633"/>
      <c r="L4" s="230"/>
      <c r="M4" s="230"/>
      <c r="N4" s="635"/>
      <c r="O4" s="635"/>
      <c r="P4" s="96"/>
    </row>
    <row r="5" spans="1:16" ht="15.75">
      <c r="A5" s="230"/>
      <c r="B5" s="632"/>
      <c r="C5" s="632"/>
      <c r="D5" s="632"/>
      <c r="E5" s="632"/>
      <c r="F5" s="632"/>
      <c r="G5" s="632"/>
      <c r="H5" s="632"/>
      <c r="I5" s="632"/>
      <c r="J5" s="632"/>
      <c r="K5" s="632"/>
      <c r="L5" s="230"/>
      <c r="M5" s="230"/>
      <c r="N5" s="230"/>
      <c r="O5" s="230"/>
      <c r="P5" s="96"/>
    </row>
    <row r="6" spans="1:16" ht="46.5" customHeight="1">
      <c r="A6" s="230"/>
      <c r="B6" s="631" t="s">
        <v>189</v>
      </c>
      <c r="C6" s="631"/>
      <c r="D6" s="631"/>
      <c r="E6" s="631"/>
      <c r="F6" s="631"/>
      <c r="G6" s="631"/>
      <c r="H6" s="631"/>
      <c r="I6" s="631"/>
      <c r="J6" s="631"/>
      <c r="K6" s="631"/>
      <c r="L6" s="566"/>
      <c r="M6" s="566"/>
      <c r="N6" s="566"/>
      <c r="O6" s="230"/>
      <c r="P6" s="96"/>
    </row>
    <row r="7" spans="1:16" ht="7.5" customHeight="1">
      <c r="A7" s="230"/>
      <c r="B7" s="461"/>
      <c r="C7" s="461"/>
      <c r="D7" s="461"/>
      <c r="E7" s="461"/>
      <c r="F7" s="461"/>
      <c r="G7" s="461"/>
      <c r="H7" s="461"/>
      <c r="I7" s="461"/>
      <c r="J7" s="461"/>
      <c r="K7" s="461"/>
      <c r="L7" s="1"/>
      <c r="M7" s="1"/>
      <c r="N7" s="1"/>
      <c r="O7" s="230"/>
      <c r="P7" s="96"/>
    </row>
    <row r="8" spans="1:16" ht="18">
      <c r="A8" s="230"/>
      <c r="B8" s="636" t="s">
        <v>47</v>
      </c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230"/>
      <c r="P8" s="96"/>
    </row>
    <row r="9" spans="1:16">
      <c r="A9" s="230"/>
      <c r="B9" s="230"/>
      <c r="C9" s="230"/>
      <c r="D9" s="230"/>
      <c r="E9" s="230"/>
      <c r="F9" s="230"/>
      <c r="G9" s="230"/>
      <c r="H9" s="284" t="s">
        <v>240</v>
      </c>
      <c r="I9" s="230"/>
      <c r="J9" s="230"/>
      <c r="K9" s="230"/>
      <c r="L9" s="230"/>
      <c r="M9" s="230"/>
      <c r="N9" s="230"/>
      <c r="O9" s="230"/>
      <c r="P9" s="96"/>
    </row>
    <row r="10" spans="1:16" ht="15.75">
      <c r="A10" s="230"/>
      <c r="B10" s="459" t="s">
        <v>16</v>
      </c>
      <c r="C10" s="230"/>
      <c r="D10" s="196">
        <v>2025</v>
      </c>
      <c r="E10" s="230"/>
      <c r="F10" s="230"/>
      <c r="G10" s="230"/>
      <c r="H10" s="127" t="s">
        <v>138</v>
      </c>
      <c r="I10" s="230"/>
      <c r="J10" s="197">
        <v>49799</v>
      </c>
      <c r="K10" s="230"/>
      <c r="L10" s="637"/>
      <c r="M10" s="637"/>
      <c r="N10" s="637"/>
      <c r="O10" s="230"/>
      <c r="P10" s="96"/>
    </row>
    <row r="11" spans="1:16" ht="15">
      <c r="A11" s="230"/>
      <c r="B11" s="459" t="s">
        <v>43</v>
      </c>
      <c r="C11" s="230"/>
      <c r="D11" s="638" t="s">
        <v>25</v>
      </c>
      <c r="E11" s="638"/>
      <c r="F11" s="638"/>
      <c r="G11" s="230"/>
      <c r="H11" s="115" t="s">
        <v>44</v>
      </c>
      <c r="I11" s="230"/>
      <c r="J11" s="283" t="s">
        <v>25</v>
      </c>
      <c r="K11" s="230"/>
      <c r="L11" s="637"/>
      <c r="M11" s="637"/>
      <c r="N11" s="637"/>
      <c r="O11" s="230"/>
      <c r="P11" s="96"/>
    </row>
    <row r="12" spans="1:16" ht="15">
      <c r="A12" s="230"/>
      <c r="B12" s="459" t="s">
        <v>17</v>
      </c>
      <c r="C12" s="230"/>
      <c r="D12" s="639" t="s">
        <v>25</v>
      </c>
      <c r="E12" s="639"/>
      <c r="F12" s="639"/>
      <c r="G12" s="639"/>
      <c r="H12" s="639"/>
      <c r="I12" s="639"/>
      <c r="J12" s="639"/>
      <c r="K12" s="230"/>
      <c r="L12" s="640"/>
      <c r="M12" s="640"/>
      <c r="N12" s="640"/>
      <c r="O12" s="230"/>
      <c r="P12" s="96"/>
    </row>
    <row r="13" spans="1:16" ht="15">
      <c r="A13" s="230"/>
      <c r="B13" s="459" t="s">
        <v>18</v>
      </c>
      <c r="C13" s="230"/>
      <c r="D13" s="639" t="s">
        <v>25</v>
      </c>
      <c r="E13" s="639"/>
      <c r="F13" s="639"/>
      <c r="G13" s="639"/>
      <c r="H13" s="639"/>
      <c r="I13" s="639"/>
      <c r="J13" s="639"/>
      <c r="K13" s="230"/>
      <c r="L13" s="652" t="s">
        <v>1166</v>
      </c>
      <c r="M13" s="652"/>
      <c r="N13" s="652"/>
      <c r="O13" s="230"/>
      <c r="P13" s="96"/>
    </row>
    <row r="14" spans="1:16" ht="15">
      <c r="A14" s="230"/>
      <c r="B14" s="459" t="s">
        <v>19</v>
      </c>
      <c r="C14" s="230"/>
      <c r="D14" s="639" t="s">
        <v>25</v>
      </c>
      <c r="E14" s="639"/>
      <c r="F14" s="639"/>
      <c r="G14" s="639"/>
      <c r="H14" s="639"/>
      <c r="I14" s="639"/>
      <c r="J14" s="639"/>
      <c r="K14" s="230"/>
      <c r="L14" s="649"/>
      <c r="M14" s="650"/>
      <c r="N14" s="651"/>
      <c r="O14" s="230"/>
      <c r="P14" s="96"/>
    </row>
    <row r="15" spans="1:16" ht="15">
      <c r="A15" s="230"/>
      <c r="B15" s="459" t="s">
        <v>20</v>
      </c>
      <c r="C15" s="230"/>
      <c r="D15" s="639" t="s">
        <v>25</v>
      </c>
      <c r="E15" s="639"/>
      <c r="F15" s="639"/>
      <c r="G15" s="639"/>
      <c r="H15" s="639"/>
      <c r="I15" s="639"/>
      <c r="J15" s="639"/>
      <c r="K15" s="230"/>
      <c r="L15" s="649" t="s">
        <v>25</v>
      </c>
      <c r="M15" s="650"/>
      <c r="N15" s="651"/>
      <c r="O15" s="230"/>
      <c r="P15" s="96"/>
    </row>
    <row r="16" spans="1:16" ht="7.5" customHeight="1">
      <c r="A16" s="230"/>
      <c r="B16" s="201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96"/>
    </row>
    <row r="17" spans="1:16">
      <c r="A17" s="230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96"/>
    </row>
    <row r="18" spans="1:16" ht="7.5" customHeight="1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96"/>
    </row>
    <row r="19" spans="1:16" ht="15">
      <c r="A19" s="230"/>
      <c r="B19" s="459" t="s">
        <v>46</v>
      </c>
      <c r="C19" s="230"/>
      <c r="D19" s="285" t="s">
        <v>25</v>
      </c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0"/>
      <c r="P19" s="96"/>
    </row>
    <row r="20" spans="1:16" ht="15">
      <c r="A20" s="230"/>
      <c r="B20" s="459" t="s">
        <v>1037</v>
      </c>
      <c r="C20" s="230"/>
      <c r="D20" s="283" t="s">
        <v>25</v>
      </c>
      <c r="E20" s="231"/>
      <c r="F20" s="642" t="e">
        <f>VLOOKUP(D20,CIUU!A12:B518,2,FALSE)</f>
        <v>#N/A</v>
      </c>
      <c r="G20" s="642"/>
      <c r="H20" s="642"/>
      <c r="I20" s="642"/>
      <c r="J20" s="642"/>
      <c r="K20" s="642"/>
      <c r="L20" s="642"/>
      <c r="M20" s="642"/>
      <c r="N20" s="642"/>
      <c r="O20" s="230"/>
      <c r="P20" s="96"/>
    </row>
    <row r="21" spans="1:16">
      <c r="A21" s="230"/>
      <c r="B21" s="230"/>
      <c r="C21" s="230"/>
      <c r="D21" s="230"/>
      <c r="E21" s="230"/>
      <c r="F21" s="642"/>
      <c r="G21" s="642"/>
      <c r="H21" s="642"/>
      <c r="I21" s="642"/>
      <c r="J21" s="642"/>
      <c r="K21" s="642"/>
      <c r="L21" s="642"/>
      <c r="M21" s="642"/>
      <c r="N21" s="642"/>
      <c r="O21" s="230"/>
      <c r="P21" s="96"/>
    </row>
    <row r="22" spans="1:16">
      <c r="A22" s="230"/>
      <c r="B22" s="459" t="s">
        <v>21</v>
      </c>
      <c r="C22" s="230"/>
      <c r="D22" s="115" t="s">
        <v>7</v>
      </c>
      <c r="E22" s="230"/>
      <c r="F22" s="282"/>
      <c r="G22" s="231"/>
      <c r="H22" s="643" t="s">
        <v>130</v>
      </c>
      <c r="I22" s="643"/>
      <c r="J22" s="643"/>
      <c r="K22" s="231"/>
      <c r="L22" s="644" t="s">
        <v>25</v>
      </c>
      <c r="M22" s="644"/>
      <c r="N22" s="644"/>
      <c r="O22" s="644"/>
      <c r="P22" s="96"/>
    </row>
    <row r="23" spans="1:16">
      <c r="A23" s="230"/>
      <c r="B23" s="459" t="s">
        <v>879</v>
      </c>
      <c r="C23" s="230"/>
      <c r="D23" s="282" t="s">
        <v>25</v>
      </c>
      <c r="E23" s="230"/>
      <c r="F23" s="645" t="s">
        <v>1038</v>
      </c>
      <c r="G23" s="645"/>
      <c r="H23" s="645"/>
      <c r="I23" s="645"/>
      <c r="J23" s="645"/>
      <c r="K23" s="231"/>
      <c r="L23" s="646"/>
      <c r="M23" s="646"/>
      <c r="N23" s="646"/>
      <c r="O23" s="646"/>
      <c r="P23" s="96"/>
    </row>
    <row r="24" spans="1:16" ht="7.5" customHeight="1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96"/>
    </row>
    <row r="25" spans="1:16">
      <c r="A25" s="230"/>
      <c r="B25" s="203"/>
      <c r="C25" s="202"/>
      <c r="D25" s="204" t="s">
        <v>25</v>
      </c>
      <c r="E25" s="202"/>
      <c r="F25" s="202"/>
      <c r="G25" s="202"/>
      <c r="H25" s="205"/>
      <c r="I25" s="205"/>
      <c r="J25" s="205"/>
      <c r="K25" s="205"/>
      <c r="L25" s="202"/>
      <c r="M25" s="202"/>
      <c r="N25" s="202"/>
      <c r="O25" s="202"/>
      <c r="P25" s="96"/>
    </row>
    <row r="26" spans="1:16" ht="7.5" customHeight="1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96"/>
    </row>
    <row r="27" spans="1:16" ht="15.75">
      <c r="A27" s="230"/>
      <c r="B27" s="647" t="s">
        <v>149</v>
      </c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  <c r="N27" s="647"/>
      <c r="O27" s="201"/>
      <c r="P27" s="96"/>
    </row>
    <row r="28" spans="1:16" ht="7.5" customHeight="1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96"/>
    </row>
    <row r="29" spans="1:16">
      <c r="A29" s="230"/>
      <c r="B29" s="128" t="s">
        <v>43</v>
      </c>
      <c r="C29" s="230"/>
      <c r="D29" s="648" t="s">
        <v>25</v>
      </c>
      <c r="E29" s="648"/>
      <c r="F29" s="648"/>
      <c r="G29" s="230"/>
      <c r="H29" s="115" t="s">
        <v>44</v>
      </c>
      <c r="I29" s="230"/>
      <c r="J29" s="460" t="s">
        <v>25</v>
      </c>
      <c r="K29" s="230"/>
      <c r="L29" s="230"/>
      <c r="M29" s="230"/>
      <c r="N29" s="230"/>
      <c r="O29" s="230"/>
      <c r="P29" s="96"/>
    </row>
    <row r="30" spans="1:16">
      <c r="A30" s="230"/>
      <c r="B30" s="128" t="s">
        <v>17</v>
      </c>
      <c r="C30" s="230"/>
      <c r="D30" s="641" t="s">
        <v>25</v>
      </c>
      <c r="E30" s="641"/>
      <c r="F30" s="641"/>
      <c r="G30" s="641"/>
      <c r="H30" s="641"/>
      <c r="I30" s="641"/>
      <c r="J30" s="641"/>
      <c r="K30" s="230"/>
      <c r="L30" s="230"/>
      <c r="M30" s="230"/>
      <c r="N30" s="230"/>
      <c r="O30" s="230"/>
      <c r="P30" s="96"/>
    </row>
    <row r="31" spans="1:16">
      <c r="A31" s="230"/>
      <c r="B31" s="128" t="s">
        <v>18</v>
      </c>
      <c r="C31" s="230"/>
      <c r="D31" s="641" t="s">
        <v>25</v>
      </c>
      <c r="E31" s="641"/>
      <c r="F31" s="641"/>
      <c r="G31" s="641"/>
      <c r="H31" s="641"/>
      <c r="I31" s="641"/>
      <c r="J31" s="641"/>
      <c r="K31" s="230"/>
      <c r="L31" s="230"/>
      <c r="M31" s="230"/>
      <c r="N31" s="230"/>
      <c r="O31" s="230"/>
      <c r="P31" s="96"/>
    </row>
    <row r="32" spans="1:16">
      <c r="A32" s="230"/>
      <c r="B32" s="459" t="s">
        <v>19</v>
      </c>
      <c r="C32" s="230"/>
      <c r="D32" s="641" t="s">
        <v>25</v>
      </c>
      <c r="E32" s="641"/>
      <c r="F32" s="641"/>
      <c r="G32" s="641"/>
      <c r="H32" s="641"/>
      <c r="I32" s="641"/>
      <c r="J32" s="641"/>
      <c r="K32" s="230"/>
      <c r="L32" s="230"/>
      <c r="M32" s="230"/>
      <c r="N32" s="230"/>
      <c r="O32" s="230"/>
      <c r="P32" s="96"/>
    </row>
    <row r="33" spans="1:17">
      <c r="A33" s="230"/>
      <c r="B33" s="459" t="s">
        <v>20</v>
      </c>
      <c r="C33" s="230"/>
      <c r="D33" s="641" t="s">
        <v>25</v>
      </c>
      <c r="E33" s="641"/>
      <c r="F33" s="641"/>
      <c r="G33" s="641"/>
      <c r="H33" s="641"/>
      <c r="I33" s="641"/>
      <c r="J33" s="641"/>
      <c r="K33" s="230"/>
      <c r="L33" s="230"/>
      <c r="M33" s="230"/>
      <c r="N33" s="230"/>
      <c r="O33" s="230"/>
      <c r="P33" s="96"/>
    </row>
    <row r="34" spans="1:17" ht="15">
      <c r="A34" s="230"/>
      <c r="B34" s="459" t="s">
        <v>48</v>
      </c>
      <c r="C34" s="230"/>
      <c r="D34" s="460" t="s">
        <v>25</v>
      </c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96"/>
      <c r="Q34" s="550"/>
    </row>
    <row r="35" spans="1:17" ht="7.5" customHeight="1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96"/>
    </row>
    <row r="36" spans="1:17">
      <c r="A36" s="230"/>
      <c r="B36" s="203"/>
      <c r="C36" s="202"/>
      <c r="D36" s="204" t="s">
        <v>25</v>
      </c>
      <c r="E36" s="202"/>
      <c r="F36" s="202"/>
      <c r="G36" s="202"/>
      <c r="H36" s="205"/>
      <c r="I36" s="205"/>
      <c r="J36" s="205"/>
      <c r="K36" s="205"/>
      <c r="L36" s="202"/>
      <c r="M36" s="202"/>
      <c r="N36" s="202"/>
      <c r="O36" s="202"/>
      <c r="P36" s="96"/>
    </row>
    <row r="37" spans="1:17" ht="7.5" customHeight="1">
      <c r="A37" s="230"/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96"/>
    </row>
    <row r="38" spans="1:17" ht="15">
      <c r="A38" s="230"/>
      <c r="B38" s="653" t="s">
        <v>282</v>
      </c>
      <c r="C38" s="653"/>
      <c r="D38" s="653"/>
      <c r="E38" s="653"/>
      <c r="F38" s="653"/>
      <c r="G38" s="653"/>
      <c r="H38" s="653"/>
      <c r="I38" s="653"/>
      <c r="J38" s="653"/>
      <c r="K38" s="230"/>
      <c r="L38" s="654">
        <f>+J10*100000</f>
        <v>4979900000</v>
      </c>
      <c r="M38" s="654"/>
      <c r="N38" s="654"/>
      <c r="O38" s="230"/>
      <c r="P38" s="96"/>
    </row>
    <row r="39" spans="1:17" ht="7.5" customHeight="1">
      <c r="A39" s="230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96"/>
    </row>
    <row r="40" spans="1:17">
      <c r="A40" s="230"/>
      <c r="B40" s="127" t="s">
        <v>17</v>
      </c>
      <c r="C40" s="230"/>
      <c r="D40" s="641" t="s">
        <v>25</v>
      </c>
      <c r="E40" s="641"/>
      <c r="F40" s="641"/>
      <c r="G40" s="641"/>
      <c r="H40" s="641"/>
      <c r="I40" s="641"/>
      <c r="J40" s="641"/>
      <c r="K40" s="230"/>
      <c r="L40" s="230"/>
      <c r="M40" s="230"/>
      <c r="N40" s="230"/>
      <c r="O40" s="230"/>
      <c r="P40" s="96"/>
    </row>
    <row r="41" spans="1:17">
      <c r="A41" s="230"/>
      <c r="B41" s="127" t="s">
        <v>18</v>
      </c>
      <c r="C41" s="230"/>
      <c r="D41" s="641" t="s">
        <v>25</v>
      </c>
      <c r="E41" s="641"/>
      <c r="F41" s="641"/>
      <c r="G41" s="641"/>
      <c r="H41" s="641"/>
      <c r="I41" s="641"/>
      <c r="J41" s="641"/>
      <c r="K41" s="230"/>
      <c r="L41" s="230"/>
      <c r="M41" s="230"/>
      <c r="N41" s="230"/>
      <c r="O41" s="230"/>
      <c r="P41" s="96"/>
    </row>
    <row r="42" spans="1:17">
      <c r="A42" s="230"/>
      <c r="B42" s="459" t="s">
        <v>19</v>
      </c>
      <c r="C42" s="230"/>
      <c r="D42" s="641" t="s">
        <v>25</v>
      </c>
      <c r="E42" s="641"/>
      <c r="F42" s="641"/>
      <c r="G42" s="641"/>
      <c r="H42" s="641"/>
      <c r="I42" s="641"/>
      <c r="J42" s="641"/>
      <c r="K42" s="230"/>
      <c r="L42" s="230"/>
      <c r="M42" s="230"/>
      <c r="N42" s="230"/>
      <c r="O42" s="230"/>
      <c r="P42" s="96"/>
    </row>
    <row r="43" spans="1:17">
      <c r="A43" s="230"/>
      <c r="B43" s="459" t="s">
        <v>20</v>
      </c>
      <c r="C43" s="230"/>
      <c r="D43" s="641" t="s">
        <v>25</v>
      </c>
      <c r="E43" s="641"/>
      <c r="F43" s="641"/>
      <c r="G43" s="641"/>
      <c r="H43" s="641"/>
      <c r="I43" s="641"/>
      <c r="J43" s="641"/>
      <c r="K43" s="230"/>
      <c r="L43" s="230"/>
      <c r="M43" s="230"/>
      <c r="N43" s="230"/>
      <c r="O43" s="230"/>
      <c r="P43" s="96"/>
    </row>
    <row r="44" spans="1:17">
      <c r="A44" s="230"/>
      <c r="B44" s="459" t="s">
        <v>155</v>
      </c>
      <c r="C44" s="230"/>
      <c r="D44" s="648" t="s">
        <v>25</v>
      </c>
      <c r="E44" s="648"/>
      <c r="F44" s="648"/>
      <c r="G44" s="230"/>
      <c r="H44" s="115" t="s">
        <v>44</v>
      </c>
      <c r="I44" s="230"/>
      <c r="J44" s="460" t="s">
        <v>25</v>
      </c>
      <c r="K44" s="230"/>
      <c r="L44" s="115" t="s">
        <v>7</v>
      </c>
      <c r="M44" s="230"/>
      <c r="N44" s="460" t="s">
        <v>25</v>
      </c>
      <c r="O44" s="230"/>
      <c r="P44" s="96"/>
    </row>
    <row r="45" spans="1:17">
      <c r="A45" s="230"/>
      <c r="B45" s="459" t="s">
        <v>280</v>
      </c>
      <c r="C45" s="230"/>
      <c r="D45" s="648" t="s">
        <v>25</v>
      </c>
      <c r="E45" s="648"/>
      <c r="F45" s="648"/>
      <c r="G45" s="230"/>
      <c r="H45" s="115" t="s">
        <v>281</v>
      </c>
      <c r="I45" s="230"/>
      <c r="J45" s="460" t="s">
        <v>25</v>
      </c>
      <c r="K45" s="230"/>
      <c r="L45" s="230"/>
      <c r="M45" s="230"/>
      <c r="N45" s="230"/>
      <c r="O45" s="230"/>
      <c r="P45" s="96"/>
    </row>
    <row r="46" spans="1:17" ht="7.5" customHeight="1">
      <c r="A46" s="230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96"/>
    </row>
    <row r="47" spans="1:17">
      <c r="A47" s="230"/>
      <c r="B47" s="203"/>
      <c r="C47" s="202"/>
      <c r="D47" s="204" t="s">
        <v>25</v>
      </c>
      <c r="E47" s="202"/>
      <c r="F47" s="202"/>
      <c r="G47" s="202"/>
      <c r="H47" s="205"/>
      <c r="I47" s="205"/>
      <c r="J47" s="205"/>
      <c r="K47" s="205"/>
      <c r="L47" s="202"/>
      <c r="M47" s="202"/>
      <c r="N47" s="202"/>
      <c r="O47" s="206"/>
      <c r="P47" s="96"/>
    </row>
    <row r="48" spans="1:17" ht="7.5" customHeight="1">
      <c r="A48" s="230"/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96"/>
    </row>
    <row r="49" spans="1:16" ht="15">
      <c r="A49" s="230"/>
      <c r="B49" s="653" t="s">
        <v>1039</v>
      </c>
      <c r="C49" s="653"/>
      <c r="D49" s="653"/>
      <c r="E49" s="653"/>
      <c r="F49" s="653"/>
      <c r="G49" s="653"/>
      <c r="H49" s="653"/>
      <c r="I49" s="653"/>
      <c r="J49" s="653"/>
      <c r="K49" s="653"/>
      <c r="L49" s="653"/>
      <c r="M49" s="653"/>
      <c r="N49" s="653"/>
      <c r="O49" s="230"/>
      <c r="P49" s="96"/>
    </row>
    <row r="50" spans="1:16" ht="7.5" customHeight="1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96"/>
    </row>
    <row r="51" spans="1:16">
      <c r="A51" s="230"/>
      <c r="B51" s="127" t="s">
        <v>17</v>
      </c>
      <c r="C51" s="230"/>
      <c r="D51" s="641" t="s">
        <v>25</v>
      </c>
      <c r="E51" s="641"/>
      <c r="F51" s="641"/>
      <c r="G51" s="641"/>
      <c r="H51" s="641"/>
      <c r="I51" s="641"/>
      <c r="J51" s="641"/>
      <c r="K51" s="230"/>
      <c r="L51" s="230"/>
      <c r="M51" s="230"/>
      <c r="N51" s="230"/>
      <c r="O51" s="230"/>
      <c r="P51" s="96"/>
    </row>
    <row r="52" spans="1:16">
      <c r="A52" s="230"/>
      <c r="B52" s="127" t="s">
        <v>18</v>
      </c>
      <c r="C52" s="230"/>
      <c r="D52" s="641" t="s">
        <v>25</v>
      </c>
      <c r="E52" s="641"/>
      <c r="F52" s="641"/>
      <c r="G52" s="641"/>
      <c r="H52" s="641"/>
      <c r="I52" s="641"/>
      <c r="J52" s="641"/>
      <c r="K52" s="230"/>
      <c r="L52" s="230"/>
      <c r="M52" s="230"/>
      <c r="N52" s="230"/>
      <c r="O52" s="230"/>
      <c r="P52" s="96"/>
    </row>
    <row r="53" spans="1:16">
      <c r="A53" s="230"/>
      <c r="B53" s="459" t="s">
        <v>19</v>
      </c>
      <c r="C53" s="230"/>
      <c r="D53" s="641" t="s">
        <v>25</v>
      </c>
      <c r="E53" s="641"/>
      <c r="F53" s="641"/>
      <c r="G53" s="641"/>
      <c r="H53" s="641"/>
      <c r="I53" s="641"/>
      <c r="J53" s="641"/>
      <c r="K53" s="230"/>
      <c r="L53" s="230"/>
      <c r="M53" s="230"/>
      <c r="N53" s="230"/>
      <c r="O53" s="230"/>
      <c r="P53" s="96"/>
    </row>
    <row r="54" spans="1:16">
      <c r="A54" s="230"/>
      <c r="B54" s="459" t="s">
        <v>20</v>
      </c>
      <c r="C54" s="230"/>
      <c r="D54" s="641" t="s">
        <v>25</v>
      </c>
      <c r="E54" s="641"/>
      <c r="F54" s="641"/>
      <c r="G54" s="641"/>
      <c r="H54" s="641"/>
      <c r="I54" s="641"/>
      <c r="J54" s="641"/>
      <c r="K54" s="230"/>
      <c r="L54" s="230"/>
      <c r="M54" s="230"/>
      <c r="N54" s="230"/>
      <c r="O54" s="230"/>
      <c r="P54" s="96"/>
    </row>
    <row r="55" spans="1:16">
      <c r="A55" s="230"/>
      <c r="B55" s="459" t="s">
        <v>155</v>
      </c>
      <c r="C55" s="230"/>
      <c r="D55" s="655" t="s">
        <v>25</v>
      </c>
      <c r="E55" s="655"/>
      <c r="F55" s="655"/>
      <c r="G55" s="230"/>
      <c r="H55" s="643" t="s">
        <v>162</v>
      </c>
      <c r="I55" s="643"/>
      <c r="J55" s="643"/>
      <c r="K55" s="230"/>
      <c r="L55" s="648" t="s">
        <v>25</v>
      </c>
      <c r="M55" s="648"/>
      <c r="N55" s="648"/>
      <c r="O55" s="230"/>
      <c r="P55" s="96"/>
    </row>
    <row r="56" spans="1:16">
      <c r="A56" s="230"/>
      <c r="B56" s="459" t="s">
        <v>997</v>
      </c>
      <c r="C56" s="230"/>
      <c r="D56" s="648" t="s">
        <v>25</v>
      </c>
      <c r="E56" s="648"/>
      <c r="F56" s="648"/>
      <c r="G56" s="230"/>
      <c r="H56" s="643" t="s">
        <v>998</v>
      </c>
      <c r="I56" s="643"/>
      <c r="J56" s="643"/>
      <c r="K56" s="230"/>
      <c r="L56" s="648" t="s">
        <v>25</v>
      </c>
      <c r="M56" s="648"/>
      <c r="N56" s="648"/>
      <c r="O56" s="230"/>
      <c r="P56" s="96"/>
    </row>
    <row r="57" spans="1:16" ht="7.5" customHeight="1">
      <c r="A57" s="230"/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96"/>
    </row>
    <row r="58" spans="1:16" ht="15">
      <c r="A58" s="230"/>
      <c r="B58" s="653" t="s">
        <v>1040</v>
      </c>
      <c r="C58" s="653"/>
      <c r="D58" s="653"/>
      <c r="E58" s="653"/>
      <c r="F58" s="653"/>
      <c r="G58" s="653"/>
      <c r="H58" s="653"/>
      <c r="I58" s="653"/>
      <c r="J58" s="653"/>
      <c r="K58" s="653"/>
      <c r="L58" s="653"/>
      <c r="M58" s="653"/>
      <c r="N58" s="653"/>
      <c r="O58" s="230"/>
      <c r="P58" s="96"/>
    </row>
    <row r="59" spans="1:16" ht="6.75" customHeight="1">
      <c r="A59" s="230"/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96"/>
    </row>
    <row r="60" spans="1:16">
      <c r="A60" s="230"/>
      <c r="B60" s="127" t="s">
        <v>17</v>
      </c>
      <c r="C60" s="230"/>
      <c r="D60" s="641" t="s">
        <v>25</v>
      </c>
      <c r="E60" s="641"/>
      <c r="F60" s="641"/>
      <c r="G60" s="641"/>
      <c r="H60" s="641"/>
      <c r="I60" s="641"/>
      <c r="J60" s="641"/>
      <c r="K60" s="230"/>
      <c r="L60" s="230"/>
      <c r="M60" s="230"/>
      <c r="N60" s="230"/>
      <c r="O60" s="230"/>
      <c r="P60" s="96"/>
    </row>
    <row r="61" spans="1:16">
      <c r="A61" s="230"/>
      <c r="B61" s="127" t="s">
        <v>18</v>
      </c>
      <c r="C61" s="230"/>
      <c r="D61" s="641" t="s">
        <v>25</v>
      </c>
      <c r="E61" s="641"/>
      <c r="F61" s="641"/>
      <c r="G61" s="641"/>
      <c r="H61" s="641"/>
      <c r="I61" s="641"/>
      <c r="J61" s="641"/>
      <c r="K61" s="230"/>
      <c r="L61" s="230"/>
      <c r="M61" s="230"/>
      <c r="N61" s="230"/>
      <c r="O61" s="230"/>
      <c r="P61" s="96"/>
    </row>
    <row r="62" spans="1:16">
      <c r="A62" s="230"/>
      <c r="B62" s="459" t="s">
        <v>19</v>
      </c>
      <c r="C62" s="230"/>
      <c r="D62" s="641" t="s">
        <v>25</v>
      </c>
      <c r="E62" s="641"/>
      <c r="F62" s="641"/>
      <c r="G62" s="641"/>
      <c r="H62" s="641"/>
      <c r="I62" s="641"/>
      <c r="J62" s="641"/>
      <c r="K62" s="230"/>
      <c r="L62" s="230"/>
      <c r="M62" s="230"/>
      <c r="N62" s="230"/>
      <c r="O62" s="230"/>
      <c r="P62" s="96"/>
    </row>
    <row r="63" spans="1:16">
      <c r="A63" s="230"/>
      <c r="B63" s="459" t="s">
        <v>20</v>
      </c>
      <c r="C63" s="230"/>
      <c r="D63" s="641" t="s">
        <v>25</v>
      </c>
      <c r="E63" s="641"/>
      <c r="F63" s="641"/>
      <c r="G63" s="641"/>
      <c r="H63" s="641"/>
      <c r="I63" s="641"/>
      <c r="J63" s="641"/>
      <c r="K63" s="230"/>
      <c r="L63" s="230"/>
      <c r="M63" s="230"/>
      <c r="N63" s="230"/>
      <c r="O63" s="230"/>
      <c r="P63" s="96"/>
    </row>
    <row r="64" spans="1:16">
      <c r="A64" s="230"/>
      <c r="B64" s="459" t="s">
        <v>155</v>
      </c>
      <c r="C64" s="230"/>
      <c r="D64" s="655" t="s">
        <v>25</v>
      </c>
      <c r="E64" s="655"/>
      <c r="F64" s="655"/>
      <c r="G64" s="230"/>
      <c r="H64" s="643" t="s">
        <v>162</v>
      </c>
      <c r="I64" s="643"/>
      <c r="J64" s="643"/>
      <c r="K64" s="230"/>
      <c r="L64" s="648" t="s">
        <v>25</v>
      </c>
      <c r="M64" s="648"/>
      <c r="N64" s="648"/>
      <c r="O64" s="230"/>
      <c r="P64" s="96"/>
    </row>
    <row r="65" spans="1:16">
      <c r="A65" s="230"/>
      <c r="B65" s="459" t="s">
        <v>997</v>
      </c>
      <c r="C65" s="230"/>
      <c r="D65" s="648" t="s">
        <v>25</v>
      </c>
      <c r="E65" s="648"/>
      <c r="F65" s="648"/>
      <c r="G65" s="230"/>
      <c r="H65" s="643" t="s">
        <v>998</v>
      </c>
      <c r="I65" s="643"/>
      <c r="J65" s="643"/>
      <c r="K65" s="230"/>
      <c r="L65" s="648" t="s">
        <v>25</v>
      </c>
      <c r="M65" s="648"/>
      <c r="N65" s="648"/>
      <c r="O65" s="230"/>
      <c r="P65" s="96"/>
    </row>
    <row r="66" spans="1:16" ht="7.5" customHeight="1">
      <c r="A66" s="230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96"/>
    </row>
    <row r="67" spans="1:16" ht="15">
      <c r="A67" s="230"/>
      <c r="B67" s="653" t="s">
        <v>1041</v>
      </c>
      <c r="C67" s="653"/>
      <c r="D67" s="653"/>
      <c r="E67" s="653"/>
      <c r="F67" s="653"/>
      <c r="G67" s="653"/>
      <c r="H67" s="653"/>
      <c r="I67" s="653"/>
      <c r="J67" s="653"/>
      <c r="K67" s="653"/>
      <c r="L67" s="653"/>
      <c r="M67" s="653"/>
      <c r="N67" s="653"/>
      <c r="O67" s="230"/>
      <c r="P67" s="96"/>
    </row>
    <row r="68" spans="1:16" ht="7.5" customHeight="1">
      <c r="A68" s="230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96"/>
    </row>
    <row r="69" spans="1:16">
      <c r="A69" s="230"/>
      <c r="B69" s="127" t="s">
        <v>17</v>
      </c>
      <c r="C69" s="230"/>
      <c r="D69" s="641" t="s">
        <v>25</v>
      </c>
      <c r="E69" s="641"/>
      <c r="F69" s="641"/>
      <c r="G69" s="641"/>
      <c r="H69" s="641"/>
      <c r="I69" s="641"/>
      <c r="J69" s="641"/>
      <c r="K69" s="230"/>
      <c r="L69" s="230"/>
      <c r="M69" s="230"/>
      <c r="N69" s="230"/>
      <c r="O69" s="230"/>
      <c r="P69" s="96"/>
    </row>
    <row r="70" spans="1:16">
      <c r="A70" s="230"/>
      <c r="B70" s="127" t="s">
        <v>18</v>
      </c>
      <c r="C70" s="230"/>
      <c r="D70" s="641" t="s">
        <v>25</v>
      </c>
      <c r="E70" s="641"/>
      <c r="F70" s="641"/>
      <c r="G70" s="641"/>
      <c r="H70" s="641"/>
      <c r="I70" s="641"/>
      <c r="J70" s="641"/>
      <c r="K70" s="230"/>
      <c r="L70" s="230"/>
      <c r="M70" s="230"/>
      <c r="N70" s="230"/>
      <c r="O70" s="230"/>
      <c r="P70" s="96"/>
    </row>
    <row r="71" spans="1:16">
      <c r="A71" s="230"/>
      <c r="B71" s="459" t="s">
        <v>19</v>
      </c>
      <c r="C71" s="230"/>
      <c r="D71" s="641" t="s">
        <v>25</v>
      </c>
      <c r="E71" s="641"/>
      <c r="F71" s="641"/>
      <c r="G71" s="641"/>
      <c r="H71" s="641"/>
      <c r="I71" s="641"/>
      <c r="J71" s="641"/>
      <c r="K71" s="230"/>
      <c r="L71" s="230"/>
      <c r="M71" s="230"/>
      <c r="N71" s="230"/>
      <c r="O71" s="230"/>
      <c r="P71" s="96"/>
    </row>
    <row r="72" spans="1:16">
      <c r="A72" s="230"/>
      <c r="B72" s="459" t="s">
        <v>20</v>
      </c>
      <c r="C72" s="230"/>
      <c r="D72" s="641" t="s">
        <v>25</v>
      </c>
      <c r="E72" s="641"/>
      <c r="F72" s="641"/>
      <c r="G72" s="641"/>
      <c r="H72" s="641"/>
      <c r="I72" s="641"/>
      <c r="J72" s="641"/>
      <c r="K72" s="230"/>
      <c r="L72" s="230"/>
      <c r="M72" s="230"/>
      <c r="N72" s="230"/>
      <c r="O72" s="230"/>
      <c r="P72" s="96"/>
    </row>
    <row r="73" spans="1:16">
      <c r="A73" s="230"/>
      <c r="B73" s="459" t="s">
        <v>155</v>
      </c>
      <c r="C73" s="230"/>
      <c r="D73" s="655" t="s">
        <v>25</v>
      </c>
      <c r="E73" s="655"/>
      <c r="F73" s="655"/>
      <c r="G73" s="230"/>
      <c r="H73" s="643" t="s">
        <v>162</v>
      </c>
      <c r="I73" s="643"/>
      <c r="J73" s="643"/>
      <c r="K73" s="230"/>
      <c r="L73" s="648" t="s">
        <v>25</v>
      </c>
      <c r="M73" s="648"/>
      <c r="N73" s="648"/>
      <c r="O73" s="230"/>
      <c r="P73" s="96"/>
    </row>
    <row r="74" spans="1:16">
      <c r="A74" s="230"/>
      <c r="B74" s="459" t="s">
        <v>997</v>
      </c>
      <c r="C74" s="230"/>
      <c r="D74" s="648" t="s">
        <v>25</v>
      </c>
      <c r="E74" s="648"/>
      <c r="F74" s="648"/>
      <c r="G74" s="230"/>
      <c r="H74" s="643" t="s">
        <v>998</v>
      </c>
      <c r="I74" s="643"/>
      <c r="J74" s="643"/>
      <c r="K74" s="230"/>
      <c r="L74" s="648" t="s">
        <v>25</v>
      </c>
      <c r="M74" s="648"/>
      <c r="N74" s="648"/>
      <c r="O74" s="230"/>
      <c r="P74" s="96"/>
    </row>
    <row r="75" spans="1:16" ht="7.5" customHeight="1">
      <c r="A75" s="230"/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96"/>
    </row>
    <row r="76" spans="1:16" ht="15">
      <c r="A76" s="230"/>
      <c r="B76" s="653" t="s">
        <v>1042</v>
      </c>
      <c r="C76" s="653"/>
      <c r="D76" s="653"/>
      <c r="E76" s="653"/>
      <c r="F76" s="653"/>
      <c r="G76" s="653"/>
      <c r="H76" s="653"/>
      <c r="I76" s="653"/>
      <c r="J76" s="653"/>
      <c r="K76" s="653"/>
      <c r="L76" s="653"/>
      <c r="M76" s="653"/>
      <c r="N76" s="653"/>
      <c r="O76" s="230"/>
      <c r="P76" s="96"/>
    </row>
    <row r="77" spans="1:16" ht="7.5" customHeight="1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96"/>
    </row>
    <row r="78" spans="1:16">
      <c r="A78" s="230"/>
      <c r="B78" s="127" t="s">
        <v>17</v>
      </c>
      <c r="C78" s="230"/>
      <c r="D78" s="641" t="s">
        <v>25</v>
      </c>
      <c r="E78" s="641"/>
      <c r="F78" s="641"/>
      <c r="G78" s="641"/>
      <c r="H78" s="641"/>
      <c r="I78" s="641"/>
      <c r="J78" s="641"/>
      <c r="K78" s="230"/>
      <c r="L78" s="230"/>
      <c r="M78" s="230"/>
      <c r="N78" s="230"/>
      <c r="O78" s="230"/>
      <c r="P78" s="96"/>
    </row>
    <row r="79" spans="1:16">
      <c r="A79" s="230"/>
      <c r="B79" s="127" t="s">
        <v>18</v>
      </c>
      <c r="C79" s="230"/>
      <c r="D79" s="641" t="s">
        <v>25</v>
      </c>
      <c r="E79" s="641"/>
      <c r="F79" s="641"/>
      <c r="G79" s="641"/>
      <c r="H79" s="641"/>
      <c r="I79" s="641"/>
      <c r="J79" s="641"/>
      <c r="K79" s="230"/>
      <c r="L79" s="230"/>
      <c r="M79" s="230"/>
      <c r="N79" s="230"/>
      <c r="O79" s="230"/>
      <c r="P79" s="96"/>
    </row>
    <row r="80" spans="1:16">
      <c r="A80" s="230"/>
      <c r="B80" s="459" t="s">
        <v>19</v>
      </c>
      <c r="C80" s="230"/>
      <c r="D80" s="641" t="s">
        <v>25</v>
      </c>
      <c r="E80" s="641"/>
      <c r="F80" s="641"/>
      <c r="G80" s="641"/>
      <c r="H80" s="641"/>
      <c r="I80" s="641"/>
      <c r="J80" s="641"/>
      <c r="K80" s="230"/>
      <c r="L80" s="230"/>
      <c r="M80" s="230"/>
      <c r="N80" s="230"/>
      <c r="O80" s="230"/>
      <c r="P80" s="96"/>
    </row>
    <row r="81" spans="1:16">
      <c r="A81" s="230"/>
      <c r="B81" s="459" t="s">
        <v>20</v>
      </c>
      <c r="C81" s="230"/>
      <c r="D81" s="641" t="s">
        <v>25</v>
      </c>
      <c r="E81" s="641"/>
      <c r="F81" s="641"/>
      <c r="G81" s="641"/>
      <c r="H81" s="641"/>
      <c r="I81" s="641"/>
      <c r="J81" s="641"/>
      <c r="K81" s="230"/>
      <c r="L81" s="230"/>
      <c r="M81" s="230"/>
      <c r="N81" s="230"/>
      <c r="O81" s="230"/>
      <c r="P81" s="96"/>
    </row>
    <row r="82" spans="1:16">
      <c r="A82" s="230"/>
      <c r="B82" s="459" t="s">
        <v>155</v>
      </c>
      <c r="C82" s="230"/>
      <c r="D82" s="655" t="s">
        <v>25</v>
      </c>
      <c r="E82" s="655"/>
      <c r="F82" s="655"/>
      <c r="G82" s="230"/>
      <c r="H82" s="643" t="s">
        <v>162</v>
      </c>
      <c r="I82" s="643"/>
      <c r="J82" s="643"/>
      <c r="K82" s="230"/>
      <c r="L82" s="648" t="s">
        <v>25</v>
      </c>
      <c r="M82" s="648"/>
      <c r="N82" s="648"/>
      <c r="O82" s="230"/>
      <c r="P82" s="96"/>
    </row>
    <row r="83" spans="1:16">
      <c r="A83" s="230"/>
      <c r="B83" s="459" t="s">
        <v>997</v>
      </c>
      <c r="C83" s="230"/>
      <c r="D83" s="648" t="s">
        <v>25</v>
      </c>
      <c r="E83" s="648"/>
      <c r="F83" s="648"/>
      <c r="G83" s="230"/>
      <c r="H83" s="643" t="s">
        <v>998</v>
      </c>
      <c r="I83" s="643"/>
      <c r="J83" s="643"/>
      <c r="K83" s="230"/>
      <c r="L83" s="648" t="s">
        <v>25</v>
      </c>
      <c r="M83" s="648"/>
      <c r="N83" s="648"/>
      <c r="O83" s="230"/>
      <c r="P83" s="96"/>
    </row>
    <row r="84" spans="1:16" ht="7.5" customHeight="1">
      <c r="A84" s="230"/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96"/>
    </row>
    <row r="85" spans="1:16">
      <c r="A85" s="230"/>
      <c r="B85" s="203"/>
      <c r="C85" s="202"/>
      <c r="D85" s="204" t="s">
        <v>25</v>
      </c>
      <c r="E85" s="202"/>
      <c r="F85" s="202"/>
      <c r="G85" s="202"/>
      <c r="H85" s="205"/>
      <c r="I85" s="205"/>
      <c r="J85" s="205"/>
      <c r="K85" s="205"/>
      <c r="L85" s="202"/>
      <c r="M85" s="202"/>
      <c r="N85" s="202"/>
      <c r="O85" s="206"/>
      <c r="P85" s="96"/>
    </row>
    <row r="86" spans="1:16">
      <c r="A86" s="230"/>
      <c r="B86" s="230"/>
      <c r="C86" s="230"/>
      <c r="D86" s="230"/>
      <c r="E86" s="230"/>
      <c r="F86" s="230"/>
      <c r="G86" s="230"/>
      <c r="H86" s="230"/>
      <c r="I86" s="230"/>
      <c r="J86" s="296"/>
      <c r="K86" s="230"/>
      <c r="L86" s="230"/>
      <c r="M86" s="230"/>
      <c r="N86" s="230"/>
      <c r="O86" s="230"/>
      <c r="P86" s="96"/>
    </row>
    <row r="87" spans="1:16">
      <c r="A87" s="230"/>
      <c r="B87" s="208" t="s">
        <v>151</v>
      </c>
      <c r="C87" s="209"/>
      <c r="D87" s="295"/>
      <c r="E87" s="209"/>
      <c r="F87" s="209"/>
      <c r="G87" s="295"/>
      <c r="H87" s="295"/>
      <c r="I87" s="295"/>
      <c r="J87" s="210"/>
      <c r="K87" s="295"/>
      <c r="L87" s="298"/>
      <c r="M87" s="209"/>
      <c r="N87" s="297"/>
      <c r="O87" s="230"/>
      <c r="P87" s="96"/>
    </row>
    <row r="88" spans="1:16">
      <c r="A88" s="230"/>
      <c r="B88" s="211" t="s">
        <v>150</v>
      </c>
      <c r="C88" s="210"/>
      <c r="D88" s="210"/>
      <c r="E88" s="210"/>
      <c r="F88" s="210"/>
      <c r="G88" s="210"/>
      <c r="H88" s="210"/>
      <c r="I88" s="210"/>
      <c r="J88" s="210"/>
      <c r="K88" s="210"/>
      <c r="L88" s="232"/>
      <c r="M88" s="299"/>
      <c r="N88" s="230"/>
      <c r="O88" s="230"/>
      <c r="P88" s="96"/>
    </row>
    <row r="89" spans="1:16">
      <c r="A89" s="230"/>
      <c r="B89" s="211" t="s">
        <v>152</v>
      </c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97"/>
      <c r="O89" s="230"/>
      <c r="P89" s="96"/>
    </row>
    <row r="90" spans="1:16">
      <c r="A90" s="230"/>
      <c r="B90" s="211" t="s">
        <v>153</v>
      </c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2"/>
      <c r="N90" s="230"/>
      <c r="O90" s="230"/>
      <c r="P90" s="96"/>
    </row>
    <row r="91" spans="1:16">
      <c r="A91" s="230"/>
      <c r="B91" s="211" t="s">
        <v>154</v>
      </c>
      <c r="C91" s="210"/>
      <c r="D91" s="210"/>
      <c r="E91" s="210"/>
      <c r="F91" s="210"/>
      <c r="G91" s="210"/>
      <c r="H91" s="210"/>
      <c r="I91" s="210"/>
      <c r="J91" s="210"/>
      <c r="K91" s="210"/>
      <c r="L91" s="210"/>
      <c r="M91" s="212"/>
      <c r="N91" s="230"/>
      <c r="O91" s="230"/>
      <c r="P91" s="96"/>
    </row>
    <row r="92" spans="1:16" ht="15">
      <c r="A92" s="230"/>
      <c r="B92" s="213" t="s">
        <v>131</v>
      </c>
      <c r="C92" s="214"/>
      <c r="D92" s="210"/>
      <c r="E92" s="210"/>
      <c r="F92" s="215"/>
      <c r="G92" s="210"/>
      <c r="H92" s="210"/>
      <c r="I92" s="210"/>
      <c r="J92" s="210"/>
      <c r="K92" s="215"/>
      <c r="L92" s="215"/>
      <c r="M92" s="216"/>
      <c r="N92" s="230"/>
      <c r="O92" s="230"/>
      <c r="P92" s="96"/>
    </row>
    <row r="93" spans="1:16">
      <c r="A93" s="230"/>
      <c r="B93" s="206"/>
      <c r="C93" s="207"/>
      <c r="D93" s="207"/>
      <c r="E93" s="207"/>
      <c r="F93" s="206"/>
      <c r="G93" s="207"/>
      <c r="H93" s="207"/>
      <c r="I93" s="207"/>
      <c r="J93" s="207"/>
      <c r="K93" s="206"/>
      <c r="L93" s="206"/>
      <c r="M93" s="206"/>
      <c r="N93" s="206"/>
      <c r="O93" s="206"/>
      <c r="P93" s="96"/>
    </row>
    <row r="94" spans="1:16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</row>
  </sheetData>
  <sheetProtection algorithmName="SHA-512" hashValue="9yViMF/FoMC3XO5SGgRxKktIrKtWLLw38jRkHLhTj0atOl4xGw0C8HY0yA5K6IJCo3M2qj9fg4Vh+wbjoDKDHQ==" saltValue="/ttnwl2ljLUeRB/O53xmTA==" spinCount="100000" sheet="1" objects="1" scenarios="1" formatCells="0" formatColumns="0" formatRows="0" selectLockedCells="1"/>
  <mergeCells count="81">
    <mergeCell ref="D73:F73"/>
    <mergeCell ref="H73:J73"/>
    <mergeCell ref="L73:N73"/>
    <mergeCell ref="D74:F74"/>
    <mergeCell ref="H74:J74"/>
    <mergeCell ref="L74:N74"/>
    <mergeCell ref="B67:N67"/>
    <mergeCell ref="D69:J69"/>
    <mergeCell ref="D70:J70"/>
    <mergeCell ref="D71:J71"/>
    <mergeCell ref="D72:J72"/>
    <mergeCell ref="D64:F64"/>
    <mergeCell ref="H64:J64"/>
    <mergeCell ref="L64:N64"/>
    <mergeCell ref="D65:F65"/>
    <mergeCell ref="H65:J65"/>
    <mergeCell ref="L65:N65"/>
    <mergeCell ref="B58:N58"/>
    <mergeCell ref="D60:J60"/>
    <mergeCell ref="D61:J61"/>
    <mergeCell ref="D62:J62"/>
    <mergeCell ref="D63:J63"/>
    <mergeCell ref="D54:J54"/>
    <mergeCell ref="D55:F55"/>
    <mergeCell ref="H55:J55"/>
    <mergeCell ref="L55:N55"/>
    <mergeCell ref="D56:F56"/>
    <mergeCell ref="H56:J56"/>
    <mergeCell ref="L56:N56"/>
    <mergeCell ref="D83:F83"/>
    <mergeCell ref="H83:J83"/>
    <mergeCell ref="L83:N83"/>
    <mergeCell ref="D79:J79"/>
    <mergeCell ref="D80:J80"/>
    <mergeCell ref="D81:J81"/>
    <mergeCell ref="D82:F82"/>
    <mergeCell ref="H82:J82"/>
    <mergeCell ref="L82:N82"/>
    <mergeCell ref="D78:J78"/>
    <mergeCell ref="D32:J32"/>
    <mergeCell ref="D33:J33"/>
    <mergeCell ref="B38:J38"/>
    <mergeCell ref="L38:N38"/>
    <mergeCell ref="D40:J40"/>
    <mergeCell ref="D41:J41"/>
    <mergeCell ref="D42:J42"/>
    <mergeCell ref="D43:J43"/>
    <mergeCell ref="D44:F44"/>
    <mergeCell ref="D45:F45"/>
    <mergeCell ref="B76:N76"/>
    <mergeCell ref="B49:N49"/>
    <mergeCell ref="D51:J51"/>
    <mergeCell ref="D52:J52"/>
    <mergeCell ref="D53:J53"/>
    <mergeCell ref="D31:J31"/>
    <mergeCell ref="D13:J13"/>
    <mergeCell ref="D14:J14"/>
    <mergeCell ref="D15:J15"/>
    <mergeCell ref="F20:N21"/>
    <mergeCell ref="H22:J22"/>
    <mergeCell ref="L22:O22"/>
    <mergeCell ref="F23:J23"/>
    <mergeCell ref="L23:O23"/>
    <mergeCell ref="B27:N27"/>
    <mergeCell ref="D29:F29"/>
    <mergeCell ref="D30:J30"/>
    <mergeCell ref="L14:N14"/>
    <mergeCell ref="L15:N15"/>
    <mergeCell ref="L13:N13"/>
    <mergeCell ref="B8:N8"/>
    <mergeCell ref="L10:N11"/>
    <mergeCell ref="D11:F11"/>
    <mergeCell ref="D12:J12"/>
    <mergeCell ref="L12:N12"/>
    <mergeCell ref="B6:K6"/>
    <mergeCell ref="B5:K5"/>
    <mergeCell ref="B2:K2"/>
    <mergeCell ref="N2:O2"/>
    <mergeCell ref="B3:K3"/>
    <mergeCell ref="N3:O4"/>
    <mergeCell ref="B4:K4"/>
  </mergeCells>
  <hyperlinks>
    <hyperlink ref="H9" r:id="rId1"/>
  </hyperlinks>
  <pageMargins left="0.7" right="0.7" top="0.75" bottom="0.75" header="0.3" footer="0.3"/>
  <pageSetup paperSize="9" orientation="portrait" horizontalDpi="0" verticalDpi="0" r:id="rId2"/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45"/>
  <sheetViews>
    <sheetView showGridLines="0" zoomScaleNormal="100" workbookViewId="0">
      <selection activeCell="N16" sqref="N16"/>
    </sheetView>
  </sheetViews>
  <sheetFormatPr baseColWidth="10" defaultRowHeight="12.75"/>
  <cols>
    <col min="1" max="1" width="2.7109375" customWidth="1"/>
    <col min="2" max="2" width="12.7109375" customWidth="1"/>
    <col min="3" max="3" width="2.7109375" customWidth="1"/>
    <col min="4" max="4" width="12.7109375" customWidth="1"/>
    <col min="5" max="5" width="8.7109375" customWidth="1"/>
    <col min="6" max="6" width="12.7109375" customWidth="1"/>
    <col min="7" max="7" width="0.85546875" customWidth="1"/>
    <col min="8" max="8" width="12.7109375" customWidth="1"/>
    <col min="9" max="9" width="0.85546875" customWidth="1"/>
    <col min="10" max="10" width="12.7109375" customWidth="1"/>
    <col min="11" max="11" width="0.85546875" customWidth="1"/>
    <col min="12" max="12" width="12.7109375" customWidth="1"/>
    <col min="13" max="13" width="0.85546875" customWidth="1"/>
    <col min="14" max="14" width="12.7109375" customWidth="1"/>
    <col min="15" max="15" width="0.85546875" customWidth="1"/>
    <col min="16" max="16" width="12.7109375" customWidth="1"/>
    <col min="17" max="17" width="0.85546875" customWidth="1"/>
    <col min="18" max="18" width="12.7109375" customWidth="1"/>
    <col min="19" max="19" width="1.7109375" customWidth="1"/>
  </cols>
  <sheetData>
    <row r="1" spans="1:19">
      <c r="A1" s="21"/>
      <c r="B1" s="22"/>
      <c r="C1" s="22"/>
      <c r="D1" s="21"/>
      <c r="E1" s="22"/>
      <c r="F1" s="21"/>
      <c r="G1" s="21"/>
      <c r="H1" s="21"/>
      <c r="I1" s="21"/>
      <c r="J1" s="21"/>
      <c r="K1" s="21"/>
      <c r="L1" s="21"/>
      <c r="M1" s="21"/>
      <c r="N1" s="427" t="s">
        <v>979</v>
      </c>
      <c r="O1" s="21"/>
      <c r="P1" s="21"/>
      <c r="Q1" s="21"/>
      <c r="R1" s="21"/>
      <c r="S1" s="21"/>
    </row>
    <row r="2" spans="1:19" ht="17.25" customHeight="1">
      <c r="A2" s="21"/>
      <c r="B2" s="39" t="str">
        <f>+Datos!D12</f>
        <v xml:space="preserve"> </v>
      </c>
      <c r="C2" s="26"/>
      <c r="D2" s="40" t="str">
        <f>+Datos!D13</f>
        <v xml:space="preserve"> </v>
      </c>
      <c r="E2" s="43"/>
      <c r="F2" s="41" t="str">
        <f>+Datos!D14</f>
        <v xml:space="preserve"> </v>
      </c>
      <c r="G2" s="43"/>
      <c r="H2" s="41" t="str">
        <f>+Datos!D15</f>
        <v xml:space="preserve"> </v>
      </c>
      <c r="I2" s="28"/>
      <c r="J2" s="26"/>
      <c r="K2" s="26"/>
      <c r="L2" s="26"/>
      <c r="M2" s="26"/>
      <c r="N2" s="428" t="s">
        <v>980</v>
      </c>
      <c r="O2" s="26"/>
      <c r="P2" s="26"/>
      <c r="Q2" s="26"/>
      <c r="R2" s="23" t="s">
        <v>132</v>
      </c>
      <c r="S2" s="18"/>
    </row>
    <row r="3" spans="1:19" ht="7.5" customHeight="1">
      <c r="A3" s="21"/>
      <c r="B3" s="26"/>
      <c r="C3" s="44"/>
      <c r="D3" s="95"/>
      <c r="E3" s="26"/>
      <c r="F3" s="95"/>
      <c r="G3" s="26"/>
      <c r="H3" s="26"/>
      <c r="I3" s="26"/>
      <c r="J3" s="26"/>
      <c r="K3" s="26"/>
      <c r="L3" s="26"/>
      <c r="M3" s="26"/>
      <c r="N3" s="428" t="s">
        <v>981</v>
      </c>
      <c r="O3" s="26"/>
      <c r="P3" s="26"/>
      <c r="Q3" s="26"/>
      <c r="R3" s="26"/>
      <c r="S3" s="18"/>
    </row>
    <row r="4" spans="1:19" ht="12" customHeight="1">
      <c r="A4" s="2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428" t="s">
        <v>15</v>
      </c>
      <c r="O4" s="26"/>
      <c r="P4" s="26"/>
      <c r="Q4" s="26"/>
      <c r="R4" s="23" t="s">
        <v>16</v>
      </c>
      <c r="S4" s="18"/>
    </row>
    <row r="5" spans="1:19" ht="7.5" customHeight="1">
      <c r="A5" s="21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428" t="s">
        <v>95</v>
      </c>
      <c r="O5" s="26"/>
      <c r="P5" s="26"/>
      <c r="Q5" s="26"/>
      <c r="R5" s="26"/>
      <c r="S5" s="18"/>
    </row>
    <row r="6" spans="1:19" ht="17.25" customHeight="1">
      <c r="A6" s="21"/>
      <c r="B6" s="42" t="str">
        <f>+Datos!D11</f>
        <v xml:space="preserve"> </v>
      </c>
      <c r="C6" s="41" t="str">
        <f>+Datos!J11</f>
        <v xml:space="preserve"> </v>
      </c>
      <c r="D6" s="28"/>
      <c r="E6" s="26"/>
      <c r="F6" s="26"/>
      <c r="G6" s="26"/>
      <c r="H6" s="26"/>
      <c r="I6" s="26"/>
      <c r="J6" s="26"/>
      <c r="K6" s="26"/>
      <c r="L6" s="26"/>
      <c r="M6" s="26"/>
      <c r="N6" s="428" t="s">
        <v>37</v>
      </c>
      <c r="O6" s="26"/>
      <c r="P6" s="26"/>
      <c r="Q6" s="26"/>
      <c r="R6" s="23">
        <f>+Datos!D10</f>
        <v>2025</v>
      </c>
      <c r="S6" s="18"/>
    </row>
    <row r="7" spans="1:19" ht="7.5" customHeight="1" thickBot="1">
      <c r="A7" s="21"/>
      <c r="B7" s="26"/>
      <c r="C7" s="9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8"/>
    </row>
    <row r="8" spans="1:19" ht="18" thickTop="1" thickBot="1">
      <c r="A8" s="21"/>
      <c r="B8" s="658" t="s">
        <v>968</v>
      </c>
      <c r="C8" s="659"/>
      <c r="D8" s="659"/>
      <c r="E8" s="659"/>
      <c r="F8" s="659"/>
      <c r="G8" s="659"/>
      <c r="H8" s="659"/>
      <c r="I8" s="659"/>
      <c r="J8" s="659"/>
      <c r="K8" s="659"/>
      <c r="L8" s="660"/>
      <c r="M8" s="26"/>
      <c r="N8" s="26"/>
      <c r="O8" s="26"/>
      <c r="P8" s="26"/>
      <c r="Q8" s="26"/>
      <c r="R8" s="26"/>
      <c r="S8" s="18"/>
    </row>
    <row r="9" spans="1:19" ht="7.5" customHeight="1" thickTop="1" thickBot="1">
      <c r="A9" s="21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8"/>
    </row>
    <row r="10" spans="1:19" ht="14.25" thickTop="1" thickBot="1">
      <c r="A10" s="21"/>
      <c r="B10" s="661" t="s">
        <v>975</v>
      </c>
      <c r="C10" s="662"/>
      <c r="D10" s="662"/>
      <c r="E10" s="662"/>
      <c r="F10" s="662"/>
      <c r="G10" s="662"/>
      <c r="H10" s="662"/>
      <c r="I10" s="662"/>
      <c r="J10" s="662"/>
      <c r="K10" s="662"/>
      <c r="L10" s="663"/>
      <c r="M10" s="26"/>
      <c r="N10" s="664" t="s">
        <v>976</v>
      </c>
      <c r="O10" s="665"/>
      <c r="P10" s="666"/>
      <c r="Q10" s="26"/>
      <c r="R10" s="667" t="s">
        <v>147</v>
      </c>
      <c r="S10" s="18"/>
    </row>
    <row r="11" spans="1:19" ht="55.5" thickTop="1" thickBot="1">
      <c r="A11" s="21"/>
      <c r="B11" s="669" t="s">
        <v>49</v>
      </c>
      <c r="C11" s="670"/>
      <c r="D11" s="671"/>
      <c r="E11" s="425" t="s">
        <v>978</v>
      </c>
      <c r="F11" s="425" t="s">
        <v>971</v>
      </c>
      <c r="G11" s="104"/>
      <c r="H11" s="425" t="s">
        <v>982</v>
      </c>
      <c r="I11" s="104"/>
      <c r="J11" s="425" t="s">
        <v>972</v>
      </c>
      <c r="K11" s="104"/>
      <c r="L11" s="425">
        <f>+R6-1</f>
        <v>2024</v>
      </c>
      <c r="M11" s="104"/>
      <c r="N11" s="426" t="s">
        <v>973</v>
      </c>
      <c r="O11" s="104"/>
      <c r="P11" s="426" t="s">
        <v>974</v>
      </c>
      <c r="Q11" s="104"/>
      <c r="R11" s="668"/>
      <c r="S11" s="160"/>
    </row>
    <row r="12" spans="1:19" ht="7.5" customHeight="1" thickTop="1" thickBot="1">
      <c r="A12" s="21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18"/>
    </row>
    <row r="13" spans="1:19" ht="14.25" thickTop="1">
      <c r="A13" s="29">
        <v>1</v>
      </c>
      <c r="B13" s="656"/>
      <c r="C13" s="657"/>
      <c r="D13" s="657"/>
      <c r="E13" s="432"/>
      <c r="F13" s="429"/>
      <c r="G13" s="4"/>
      <c r="H13" s="6"/>
      <c r="I13" s="4"/>
      <c r="J13" s="6"/>
      <c r="K13" s="4"/>
      <c r="L13" s="422">
        <f>+H13+J13</f>
        <v>0</v>
      </c>
      <c r="M13" s="4"/>
      <c r="N13" s="6"/>
      <c r="O13" s="4"/>
      <c r="P13" s="6"/>
      <c r="Q13" s="4"/>
      <c r="R13" s="109">
        <f>+L13+N13-P13</f>
        <v>0</v>
      </c>
      <c r="S13" s="21"/>
    </row>
    <row r="14" spans="1:19" ht="13.5">
      <c r="A14" s="29">
        <v>2</v>
      </c>
      <c r="B14" s="672"/>
      <c r="C14" s="673"/>
      <c r="D14" s="673"/>
      <c r="E14" s="433"/>
      <c r="F14" s="430"/>
      <c r="G14" s="4"/>
      <c r="H14" s="7"/>
      <c r="I14" s="4"/>
      <c r="J14" s="7"/>
      <c r="K14" s="4"/>
      <c r="L14" s="423">
        <f>+H14+J14</f>
        <v>0</v>
      </c>
      <c r="M14" s="4"/>
      <c r="N14" s="7"/>
      <c r="O14" s="4"/>
      <c r="P14" s="7"/>
      <c r="Q14" s="4"/>
      <c r="R14" s="110">
        <f>+L14+N14-P14</f>
        <v>0</v>
      </c>
      <c r="S14" s="21"/>
    </row>
    <row r="15" spans="1:19" ht="13.5">
      <c r="A15" s="29">
        <v>3</v>
      </c>
      <c r="B15" s="672"/>
      <c r="C15" s="673"/>
      <c r="D15" s="673"/>
      <c r="E15" s="433"/>
      <c r="F15" s="430"/>
      <c r="G15" s="4"/>
      <c r="H15" s="7"/>
      <c r="I15" s="4"/>
      <c r="J15" s="7"/>
      <c r="K15" s="4"/>
      <c r="L15" s="423">
        <f t="shared" ref="L15:L35" si="0">+H15+J15</f>
        <v>0</v>
      </c>
      <c r="M15" s="4"/>
      <c r="N15" s="7"/>
      <c r="O15" s="4"/>
      <c r="P15" s="7"/>
      <c r="Q15" s="4"/>
      <c r="R15" s="110">
        <f t="shared" ref="R15:R36" si="1">+L15+N15-P15</f>
        <v>0</v>
      </c>
      <c r="S15" s="21"/>
    </row>
    <row r="16" spans="1:19" ht="13.5">
      <c r="A16" s="29">
        <v>4</v>
      </c>
      <c r="B16" s="672"/>
      <c r="C16" s="673"/>
      <c r="D16" s="673"/>
      <c r="E16" s="433"/>
      <c r="F16" s="430"/>
      <c r="G16" s="4"/>
      <c r="H16" s="7"/>
      <c r="I16" s="4"/>
      <c r="J16" s="7"/>
      <c r="K16" s="4"/>
      <c r="L16" s="423">
        <f t="shared" si="0"/>
        <v>0</v>
      </c>
      <c r="M16" s="4"/>
      <c r="N16" s="7"/>
      <c r="O16" s="4"/>
      <c r="P16" s="7"/>
      <c r="Q16" s="4"/>
      <c r="R16" s="110">
        <f t="shared" si="1"/>
        <v>0</v>
      </c>
      <c r="S16" s="21"/>
    </row>
    <row r="17" spans="1:19" ht="13.5">
      <c r="A17" s="29">
        <v>5</v>
      </c>
      <c r="B17" s="674"/>
      <c r="C17" s="673"/>
      <c r="D17" s="673"/>
      <c r="E17" s="433"/>
      <c r="F17" s="430"/>
      <c r="G17" s="4"/>
      <c r="H17" s="7"/>
      <c r="I17" s="4"/>
      <c r="J17" s="7"/>
      <c r="K17" s="4"/>
      <c r="L17" s="423">
        <f t="shared" si="0"/>
        <v>0</v>
      </c>
      <c r="M17" s="4"/>
      <c r="N17" s="7"/>
      <c r="O17" s="4"/>
      <c r="P17" s="7"/>
      <c r="Q17" s="4"/>
      <c r="R17" s="110">
        <f t="shared" si="1"/>
        <v>0</v>
      </c>
      <c r="S17" s="21"/>
    </row>
    <row r="18" spans="1:19" ht="13.5">
      <c r="A18" s="29">
        <v>6</v>
      </c>
      <c r="B18" s="672"/>
      <c r="C18" s="673"/>
      <c r="D18" s="673"/>
      <c r="E18" s="433"/>
      <c r="F18" s="430"/>
      <c r="G18" s="4"/>
      <c r="H18" s="7"/>
      <c r="I18" s="4"/>
      <c r="J18" s="7"/>
      <c r="K18" s="4"/>
      <c r="L18" s="423">
        <f t="shared" si="0"/>
        <v>0</v>
      </c>
      <c r="M18" s="4"/>
      <c r="N18" s="7"/>
      <c r="O18" s="4"/>
      <c r="P18" s="7"/>
      <c r="Q18" s="4"/>
      <c r="R18" s="110">
        <f t="shared" si="1"/>
        <v>0</v>
      </c>
      <c r="S18" s="21"/>
    </row>
    <row r="19" spans="1:19" ht="13.5">
      <c r="A19" s="29">
        <v>7</v>
      </c>
      <c r="B19" s="672"/>
      <c r="C19" s="673"/>
      <c r="D19" s="673"/>
      <c r="E19" s="433"/>
      <c r="F19" s="430"/>
      <c r="G19" s="4"/>
      <c r="H19" s="7"/>
      <c r="I19" s="4"/>
      <c r="J19" s="7"/>
      <c r="K19" s="4"/>
      <c r="L19" s="423">
        <f t="shared" si="0"/>
        <v>0</v>
      </c>
      <c r="M19" s="4"/>
      <c r="N19" s="7"/>
      <c r="O19" s="4"/>
      <c r="P19" s="7"/>
      <c r="Q19" s="4"/>
      <c r="R19" s="110">
        <f t="shared" si="1"/>
        <v>0</v>
      </c>
      <c r="S19" s="21"/>
    </row>
    <row r="20" spans="1:19" ht="13.5">
      <c r="A20" s="29">
        <v>8</v>
      </c>
      <c r="B20" s="672"/>
      <c r="C20" s="673"/>
      <c r="D20" s="673"/>
      <c r="E20" s="433"/>
      <c r="F20" s="430"/>
      <c r="G20" s="4"/>
      <c r="H20" s="7"/>
      <c r="I20" s="4"/>
      <c r="J20" s="7"/>
      <c r="K20" s="4"/>
      <c r="L20" s="423">
        <f t="shared" si="0"/>
        <v>0</v>
      </c>
      <c r="M20" s="4"/>
      <c r="N20" s="7"/>
      <c r="O20" s="4"/>
      <c r="P20" s="7"/>
      <c r="Q20" s="4"/>
      <c r="R20" s="110">
        <f t="shared" si="1"/>
        <v>0</v>
      </c>
      <c r="S20" s="21"/>
    </row>
    <row r="21" spans="1:19" ht="13.5">
      <c r="A21" s="29">
        <v>9</v>
      </c>
      <c r="B21" s="672"/>
      <c r="C21" s="673"/>
      <c r="D21" s="673"/>
      <c r="E21" s="433"/>
      <c r="F21" s="430"/>
      <c r="G21" s="4"/>
      <c r="H21" s="7"/>
      <c r="I21" s="4"/>
      <c r="J21" s="7"/>
      <c r="K21" s="4"/>
      <c r="L21" s="423">
        <f t="shared" si="0"/>
        <v>0</v>
      </c>
      <c r="M21" s="4"/>
      <c r="N21" s="7"/>
      <c r="O21" s="4"/>
      <c r="P21" s="7"/>
      <c r="Q21" s="4"/>
      <c r="R21" s="110">
        <f t="shared" si="1"/>
        <v>0</v>
      </c>
      <c r="S21" s="21"/>
    </row>
    <row r="22" spans="1:19" ht="13.5">
      <c r="A22" s="29">
        <v>10</v>
      </c>
      <c r="B22" s="672"/>
      <c r="C22" s="673"/>
      <c r="D22" s="673"/>
      <c r="E22" s="433"/>
      <c r="F22" s="430"/>
      <c r="G22" s="4"/>
      <c r="H22" s="7"/>
      <c r="I22" s="4"/>
      <c r="J22" s="7"/>
      <c r="K22" s="4"/>
      <c r="L22" s="423">
        <f t="shared" si="0"/>
        <v>0</v>
      </c>
      <c r="M22" s="4"/>
      <c r="N22" s="7"/>
      <c r="O22" s="4"/>
      <c r="P22" s="7"/>
      <c r="Q22" s="4"/>
      <c r="R22" s="110">
        <f t="shared" si="1"/>
        <v>0</v>
      </c>
      <c r="S22" s="21"/>
    </row>
    <row r="23" spans="1:19" ht="13.5">
      <c r="A23" s="29">
        <v>11</v>
      </c>
      <c r="B23" s="672"/>
      <c r="C23" s="673"/>
      <c r="D23" s="673"/>
      <c r="E23" s="433"/>
      <c r="F23" s="430"/>
      <c r="G23" s="4"/>
      <c r="H23" s="7"/>
      <c r="I23" s="4"/>
      <c r="J23" s="7"/>
      <c r="K23" s="4"/>
      <c r="L23" s="423">
        <f t="shared" si="0"/>
        <v>0</v>
      </c>
      <c r="M23" s="4"/>
      <c r="N23" s="7"/>
      <c r="O23" s="4"/>
      <c r="P23" s="7"/>
      <c r="Q23" s="4"/>
      <c r="R23" s="110">
        <f t="shared" si="1"/>
        <v>0</v>
      </c>
      <c r="S23" s="21"/>
    </row>
    <row r="24" spans="1:19" ht="13.5">
      <c r="A24" s="29">
        <v>12</v>
      </c>
      <c r="B24" s="672"/>
      <c r="C24" s="673"/>
      <c r="D24" s="673"/>
      <c r="E24" s="433"/>
      <c r="F24" s="430"/>
      <c r="G24" s="4"/>
      <c r="H24" s="7"/>
      <c r="I24" s="4"/>
      <c r="J24" s="7"/>
      <c r="K24" s="4"/>
      <c r="L24" s="423">
        <f t="shared" si="0"/>
        <v>0</v>
      </c>
      <c r="M24" s="4"/>
      <c r="N24" s="7"/>
      <c r="O24" s="4"/>
      <c r="P24" s="7"/>
      <c r="Q24" s="4"/>
      <c r="R24" s="110">
        <f t="shared" si="1"/>
        <v>0</v>
      </c>
      <c r="S24" s="21"/>
    </row>
    <row r="25" spans="1:19" ht="13.5">
      <c r="A25" s="29">
        <v>13</v>
      </c>
      <c r="B25" s="672"/>
      <c r="C25" s="673"/>
      <c r="D25" s="673"/>
      <c r="E25" s="433"/>
      <c r="F25" s="430"/>
      <c r="G25" s="4"/>
      <c r="H25" s="7"/>
      <c r="I25" s="4"/>
      <c r="J25" s="7"/>
      <c r="K25" s="4"/>
      <c r="L25" s="423">
        <f t="shared" si="0"/>
        <v>0</v>
      </c>
      <c r="M25" s="4"/>
      <c r="N25" s="7"/>
      <c r="O25" s="4"/>
      <c r="P25" s="7"/>
      <c r="Q25" s="4"/>
      <c r="R25" s="110">
        <f t="shared" si="1"/>
        <v>0</v>
      </c>
      <c r="S25" s="21"/>
    </row>
    <row r="26" spans="1:19" ht="13.5">
      <c r="A26" s="29">
        <v>14</v>
      </c>
      <c r="B26" s="672"/>
      <c r="C26" s="673"/>
      <c r="D26" s="673"/>
      <c r="E26" s="433"/>
      <c r="F26" s="430"/>
      <c r="G26" s="4"/>
      <c r="H26" s="7"/>
      <c r="I26" s="4"/>
      <c r="J26" s="7"/>
      <c r="K26" s="4"/>
      <c r="L26" s="423">
        <f t="shared" si="0"/>
        <v>0</v>
      </c>
      <c r="M26" s="4"/>
      <c r="N26" s="7"/>
      <c r="O26" s="4"/>
      <c r="P26" s="7"/>
      <c r="Q26" s="4"/>
      <c r="R26" s="110">
        <f t="shared" si="1"/>
        <v>0</v>
      </c>
      <c r="S26" s="21"/>
    </row>
    <row r="27" spans="1:19" ht="13.5">
      <c r="A27" s="29">
        <v>15</v>
      </c>
      <c r="B27" s="672"/>
      <c r="C27" s="673"/>
      <c r="D27" s="673"/>
      <c r="E27" s="433"/>
      <c r="F27" s="430"/>
      <c r="G27" s="4"/>
      <c r="H27" s="7"/>
      <c r="I27" s="4"/>
      <c r="J27" s="7"/>
      <c r="K27" s="4"/>
      <c r="L27" s="423">
        <f t="shared" si="0"/>
        <v>0</v>
      </c>
      <c r="M27" s="4"/>
      <c r="N27" s="7"/>
      <c r="O27" s="4"/>
      <c r="P27" s="7"/>
      <c r="Q27" s="4"/>
      <c r="R27" s="110">
        <f t="shared" si="1"/>
        <v>0</v>
      </c>
      <c r="S27" s="21"/>
    </row>
    <row r="28" spans="1:19" ht="13.5">
      <c r="A28" s="29">
        <v>16</v>
      </c>
      <c r="B28" s="672"/>
      <c r="C28" s="673"/>
      <c r="D28" s="673"/>
      <c r="E28" s="433"/>
      <c r="F28" s="430"/>
      <c r="G28" s="4"/>
      <c r="H28" s="7"/>
      <c r="I28" s="4"/>
      <c r="J28" s="7"/>
      <c r="K28" s="4"/>
      <c r="L28" s="423">
        <f t="shared" si="0"/>
        <v>0</v>
      </c>
      <c r="M28" s="4"/>
      <c r="N28" s="7"/>
      <c r="O28" s="4"/>
      <c r="P28" s="7"/>
      <c r="Q28" s="4"/>
      <c r="R28" s="110">
        <f t="shared" si="1"/>
        <v>0</v>
      </c>
      <c r="S28" s="21"/>
    </row>
    <row r="29" spans="1:19" ht="13.5">
      <c r="A29" s="29">
        <v>17</v>
      </c>
      <c r="B29" s="672"/>
      <c r="C29" s="673"/>
      <c r="D29" s="673"/>
      <c r="E29" s="433"/>
      <c r="F29" s="430"/>
      <c r="G29" s="4"/>
      <c r="H29" s="7"/>
      <c r="I29" s="4"/>
      <c r="J29" s="7"/>
      <c r="K29" s="4"/>
      <c r="L29" s="423">
        <f t="shared" si="0"/>
        <v>0</v>
      </c>
      <c r="M29" s="4"/>
      <c r="N29" s="7"/>
      <c r="O29" s="4"/>
      <c r="P29" s="7"/>
      <c r="Q29" s="4"/>
      <c r="R29" s="110">
        <f t="shared" si="1"/>
        <v>0</v>
      </c>
      <c r="S29" s="21"/>
    </row>
    <row r="30" spans="1:19" ht="13.5">
      <c r="A30" s="29">
        <v>18</v>
      </c>
      <c r="B30" s="672"/>
      <c r="C30" s="673"/>
      <c r="D30" s="673"/>
      <c r="E30" s="433"/>
      <c r="F30" s="430"/>
      <c r="G30" s="4"/>
      <c r="H30" s="7"/>
      <c r="I30" s="4"/>
      <c r="J30" s="7"/>
      <c r="K30" s="4"/>
      <c r="L30" s="423">
        <f t="shared" si="0"/>
        <v>0</v>
      </c>
      <c r="M30" s="4"/>
      <c r="N30" s="7"/>
      <c r="O30" s="4"/>
      <c r="P30" s="7"/>
      <c r="Q30" s="4"/>
      <c r="R30" s="110">
        <f t="shared" si="1"/>
        <v>0</v>
      </c>
      <c r="S30" s="21"/>
    </row>
    <row r="31" spans="1:19" ht="13.5">
      <c r="A31" s="29">
        <v>19</v>
      </c>
      <c r="B31" s="672"/>
      <c r="C31" s="673"/>
      <c r="D31" s="673"/>
      <c r="E31" s="433"/>
      <c r="F31" s="430"/>
      <c r="G31" s="4"/>
      <c r="H31" s="7"/>
      <c r="I31" s="4"/>
      <c r="J31" s="7"/>
      <c r="K31" s="4"/>
      <c r="L31" s="423">
        <f t="shared" si="0"/>
        <v>0</v>
      </c>
      <c r="M31" s="4"/>
      <c r="N31" s="7"/>
      <c r="O31" s="4"/>
      <c r="P31" s="7"/>
      <c r="Q31" s="4"/>
      <c r="R31" s="110">
        <f t="shared" si="1"/>
        <v>0</v>
      </c>
      <c r="S31" s="21"/>
    </row>
    <row r="32" spans="1:19" ht="13.5">
      <c r="A32" s="29">
        <v>20</v>
      </c>
      <c r="B32" s="672"/>
      <c r="C32" s="673"/>
      <c r="D32" s="673"/>
      <c r="E32" s="433"/>
      <c r="F32" s="430"/>
      <c r="G32" s="4"/>
      <c r="H32" s="7"/>
      <c r="I32" s="4"/>
      <c r="J32" s="7"/>
      <c r="K32" s="4"/>
      <c r="L32" s="423">
        <f t="shared" si="0"/>
        <v>0</v>
      </c>
      <c r="M32" s="4"/>
      <c r="N32" s="7"/>
      <c r="O32" s="4"/>
      <c r="P32" s="7"/>
      <c r="Q32" s="4"/>
      <c r="R32" s="110">
        <f t="shared" si="1"/>
        <v>0</v>
      </c>
      <c r="S32" s="21"/>
    </row>
    <row r="33" spans="1:19" ht="13.5">
      <c r="A33" s="29">
        <v>21</v>
      </c>
      <c r="B33" s="672"/>
      <c r="C33" s="673"/>
      <c r="D33" s="673"/>
      <c r="E33" s="433"/>
      <c r="F33" s="430"/>
      <c r="G33" s="4"/>
      <c r="H33" s="7"/>
      <c r="I33" s="4"/>
      <c r="J33" s="7"/>
      <c r="K33" s="4"/>
      <c r="L33" s="423">
        <f t="shared" si="0"/>
        <v>0</v>
      </c>
      <c r="M33" s="4"/>
      <c r="N33" s="7"/>
      <c r="O33" s="4"/>
      <c r="P33" s="7"/>
      <c r="Q33" s="4"/>
      <c r="R33" s="110">
        <f t="shared" si="1"/>
        <v>0</v>
      </c>
      <c r="S33" s="21"/>
    </row>
    <row r="34" spans="1:19" ht="13.5">
      <c r="A34" s="29">
        <v>22</v>
      </c>
      <c r="B34" s="672"/>
      <c r="C34" s="673"/>
      <c r="D34" s="673"/>
      <c r="E34" s="433"/>
      <c r="F34" s="430"/>
      <c r="G34" s="4"/>
      <c r="H34" s="7"/>
      <c r="I34" s="4"/>
      <c r="J34" s="7"/>
      <c r="K34" s="4"/>
      <c r="L34" s="423">
        <f t="shared" si="0"/>
        <v>0</v>
      </c>
      <c r="M34" s="4"/>
      <c r="N34" s="7"/>
      <c r="O34" s="4"/>
      <c r="P34" s="7"/>
      <c r="Q34" s="4"/>
      <c r="R34" s="110">
        <f t="shared" si="1"/>
        <v>0</v>
      </c>
      <c r="S34" s="21"/>
    </row>
    <row r="35" spans="1:19" ht="13.5">
      <c r="A35" s="29">
        <v>23</v>
      </c>
      <c r="B35" s="672"/>
      <c r="C35" s="673"/>
      <c r="D35" s="673"/>
      <c r="E35" s="433"/>
      <c r="F35" s="430"/>
      <c r="G35" s="4"/>
      <c r="H35" s="7"/>
      <c r="I35" s="4"/>
      <c r="J35" s="7"/>
      <c r="K35" s="4"/>
      <c r="L35" s="423">
        <f t="shared" si="0"/>
        <v>0</v>
      </c>
      <c r="M35" s="4"/>
      <c r="N35" s="7"/>
      <c r="O35" s="4"/>
      <c r="P35" s="7"/>
      <c r="Q35" s="4"/>
      <c r="R35" s="110">
        <f t="shared" si="1"/>
        <v>0</v>
      </c>
      <c r="S35" s="21"/>
    </row>
    <row r="36" spans="1:19" ht="14.25" thickBot="1">
      <c r="A36" s="29">
        <v>24</v>
      </c>
      <c r="B36" s="672"/>
      <c r="C36" s="673"/>
      <c r="D36" s="673"/>
      <c r="E36" s="434"/>
      <c r="F36" s="431"/>
      <c r="G36" s="4"/>
      <c r="H36" s="8"/>
      <c r="I36" s="4"/>
      <c r="J36" s="8"/>
      <c r="K36" s="4"/>
      <c r="L36" s="424">
        <f>+H36+J36</f>
        <v>0</v>
      </c>
      <c r="M36" s="4"/>
      <c r="N36" s="8"/>
      <c r="O36" s="4"/>
      <c r="P36" s="8"/>
      <c r="Q36" s="4"/>
      <c r="R36" s="110">
        <f t="shared" si="1"/>
        <v>0</v>
      </c>
      <c r="S36" s="21"/>
    </row>
    <row r="37" spans="1:19" ht="14.25" thickTop="1">
      <c r="A37" s="29">
        <v>25</v>
      </c>
      <c r="B37" s="675" t="s">
        <v>977</v>
      </c>
      <c r="C37" s="676"/>
      <c r="D37" s="677"/>
      <c r="E37" s="2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111">
        <v>0</v>
      </c>
      <c r="S37" s="21"/>
    </row>
    <row r="38" spans="1:19" ht="7.5" customHeight="1">
      <c r="A38" s="29"/>
      <c r="B38" s="678"/>
      <c r="C38" s="678"/>
      <c r="D38" s="678"/>
      <c r="E38" s="2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21"/>
    </row>
    <row r="39" spans="1:19" ht="13.5">
      <c r="A39" s="29"/>
      <c r="B39" s="679" t="s">
        <v>186</v>
      </c>
      <c r="C39" s="680"/>
      <c r="D39" s="680"/>
      <c r="E39" s="680"/>
      <c r="F39" s="681"/>
      <c r="G39" s="101"/>
      <c r="H39" s="100">
        <f>SUM(H13:H37)</f>
        <v>0</v>
      </c>
      <c r="I39" s="101"/>
      <c r="J39" s="100">
        <f>SUM(J13:J37)</f>
        <v>0</v>
      </c>
      <c r="K39" s="101"/>
      <c r="L39" s="100">
        <f>SUM(L13:L37)</f>
        <v>0</v>
      </c>
      <c r="M39" s="101"/>
      <c r="N39" s="100">
        <f>SUM(N13:N37)</f>
        <v>0</v>
      </c>
      <c r="O39" s="101"/>
      <c r="P39" s="100">
        <f>SUM(P13:P37)</f>
        <v>0</v>
      </c>
      <c r="Q39" s="101"/>
      <c r="R39" s="100">
        <f>SUM(R13:R37)</f>
        <v>0</v>
      </c>
      <c r="S39" s="21"/>
    </row>
    <row r="40" spans="1:19" ht="7.5" customHeight="1">
      <c r="A40" s="29"/>
      <c r="B40" s="682"/>
      <c r="C40" s="682"/>
      <c r="D40" s="682"/>
      <c r="E40" s="35"/>
      <c r="F40" s="102"/>
      <c r="G40" s="27"/>
      <c r="H40" s="102"/>
      <c r="I40" s="27"/>
      <c r="J40" s="102"/>
      <c r="K40" s="27"/>
      <c r="L40" s="102"/>
      <c r="M40" s="27"/>
      <c r="N40" s="102"/>
      <c r="O40" s="27"/>
      <c r="P40" s="103"/>
      <c r="Q40" s="27"/>
      <c r="R40" s="102"/>
      <c r="S40" s="21"/>
    </row>
    <row r="41" spans="1:19" ht="13.5">
      <c r="A41" s="29"/>
      <c r="B41" s="26"/>
      <c r="C41" s="26"/>
      <c r="D41" s="26"/>
      <c r="E41" s="26"/>
      <c r="F41" s="26"/>
      <c r="G41" s="26"/>
      <c r="H41" s="683" t="s">
        <v>175</v>
      </c>
      <c r="I41" s="684"/>
      <c r="J41" s="685"/>
      <c r="K41" s="104"/>
      <c r="L41" s="200"/>
      <c r="M41" s="104"/>
      <c r="N41" s="456">
        <f>+L41</f>
        <v>0</v>
      </c>
      <c r="O41" s="105"/>
      <c r="P41" s="456">
        <f>+'Patrimonio Liquido'!F80</f>
        <v>0</v>
      </c>
      <c r="Q41" s="106"/>
      <c r="R41" s="457">
        <f>+L41-N41+P41</f>
        <v>0</v>
      </c>
      <c r="S41" s="21"/>
    </row>
    <row r="42" spans="1:19" ht="7.5" customHeight="1">
      <c r="A42" s="29"/>
      <c r="B42" s="26"/>
      <c r="C42" s="26"/>
      <c r="D42" s="26"/>
      <c r="E42" s="26"/>
      <c r="F42" s="26"/>
      <c r="G42" s="27"/>
      <c r="H42" s="102"/>
      <c r="I42" s="27"/>
      <c r="J42" s="102"/>
      <c r="K42" s="27"/>
      <c r="L42" s="102"/>
      <c r="M42" s="27"/>
      <c r="N42" s="102"/>
      <c r="O42" s="27"/>
      <c r="P42" s="102"/>
      <c r="Q42" s="27"/>
      <c r="R42" s="102"/>
      <c r="S42" s="21"/>
    </row>
    <row r="43" spans="1:19" ht="13.5">
      <c r="A43" s="29"/>
      <c r="B43" s="26"/>
      <c r="C43" s="26"/>
      <c r="D43" s="26"/>
      <c r="E43" s="26"/>
      <c r="F43" s="26"/>
      <c r="G43" s="455"/>
      <c r="H43" s="686" t="s">
        <v>172</v>
      </c>
      <c r="I43" s="687"/>
      <c r="J43" s="688"/>
      <c r="K43" s="104"/>
      <c r="L43" s="198">
        <f>+L39-L41</f>
        <v>0</v>
      </c>
      <c r="M43" s="107"/>
      <c r="N43" s="199"/>
      <c r="O43" s="104"/>
      <c r="P43" s="199"/>
      <c r="Q43" s="108"/>
      <c r="R43" s="198">
        <f>+R39-R41</f>
        <v>0</v>
      </c>
      <c r="S43" s="21"/>
    </row>
    <row r="44" spans="1:19">
      <c r="A44" s="29"/>
      <c r="B44" s="689"/>
      <c r="C44" s="689"/>
      <c r="D44" s="689"/>
      <c r="E44" s="26"/>
      <c r="F44" s="38"/>
      <c r="G44" s="26"/>
      <c r="H44" s="38"/>
      <c r="I44" s="26"/>
      <c r="J44" s="26"/>
      <c r="K44" s="26"/>
      <c r="L44" s="38"/>
      <c r="M44" s="26"/>
      <c r="N44" s="55"/>
      <c r="O44" s="26"/>
      <c r="P44" s="38"/>
      <c r="Q44" s="26"/>
      <c r="R44" s="38"/>
      <c r="S44" s="21"/>
    </row>
    <row r="45" spans="1:19">
      <c r="A45" s="29"/>
      <c r="B45" s="678"/>
      <c r="C45" s="678"/>
      <c r="D45" s="678"/>
      <c r="E45" s="21"/>
      <c r="F45" s="25"/>
      <c r="G45" s="21"/>
      <c r="H45" s="25"/>
      <c r="I45" s="21"/>
      <c r="J45" s="21"/>
      <c r="K45" s="21"/>
      <c r="L45" s="25"/>
      <c r="M45" s="21"/>
      <c r="N45" s="25"/>
      <c r="O45" s="21"/>
      <c r="P45" s="25"/>
      <c r="Q45" s="21"/>
      <c r="R45" s="25"/>
      <c r="S45" s="21"/>
    </row>
  </sheetData>
  <sheetProtection algorithmName="SHA-512" hashValue="x84Duav/siIFZQpa0LowPsyL9vQyqaugM0i7JRo1b3MRoMTiXtk7J2e9sE17wF/2rcdYQFFBSvCV6qlyxQePaQ==" saltValue="rxx+UxUW2wwhaQUGXiiyTg==" spinCount="100000" sheet="1" objects="1" scenarios="1" formatCells="0" formatColumns="0" formatRows="0" selectLockedCells="1"/>
  <mergeCells count="37">
    <mergeCell ref="B45:D45"/>
    <mergeCell ref="B38:D38"/>
    <mergeCell ref="B39:F39"/>
    <mergeCell ref="B40:D40"/>
    <mergeCell ref="H41:J41"/>
    <mergeCell ref="H43:J43"/>
    <mergeCell ref="B44:D44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3:D13"/>
    <mergeCell ref="B8:L8"/>
    <mergeCell ref="B10:L10"/>
    <mergeCell ref="N10:P10"/>
    <mergeCell ref="R10:R11"/>
    <mergeCell ref="B11:D11"/>
  </mergeCells>
  <dataValidations count="1">
    <dataValidation type="list" allowBlank="1" showInputMessage="1" showErrorMessage="1" sqref="E13:E36">
      <formula1>$N$1:$N$6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scale="87" orientation="landscape" horizontalDpi="0" verticalDpi="0" r:id="rId1"/>
  <headerFooter scaleWithDoc="0"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>
    <tabColor theme="9" tint="0.39997558519241921"/>
  </sheetPr>
  <dimension ref="A1:U86"/>
  <sheetViews>
    <sheetView topLeftCell="A25" zoomScale="120" zoomScaleNormal="120" workbookViewId="0">
      <selection activeCell="B55" sqref="B55:D55"/>
    </sheetView>
  </sheetViews>
  <sheetFormatPr baseColWidth="10" defaultColWidth="0" defaultRowHeight="12.75" zeroHeight="1"/>
  <cols>
    <col min="1" max="1" width="2.7109375" customWidth="1"/>
    <col min="2" max="2" width="12.7109375" customWidth="1"/>
    <col min="3" max="3" width="2.7109375" customWidth="1"/>
    <col min="4" max="4" width="12.7109375" customWidth="1"/>
    <col min="5" max="5" width="0.85546875" customWidth="1"/>
    <col min="6" max="6" width="14.7109375" customWidth="1"/>
    <col min="7" max="7" width="0.85546875" customWidth="1"/>
    <col min="8" max="8" width="14.7109375" customWidth="1"/>
    <col min="9" max="9" width="0.85546875" customWidth="1"/>
    <col min="10" max="10" width="14.7109375" customWidth="1"/>
    <col min="11" max="11" width="0.85546875" customWidth="1"/>
    <col min="12" max="12" width="14.7109375" customWidth="1"/>
    <col min="13" max="13" width="0.85546875" customWidth="1"/>
    <col min="14" max="14" width="14.7109375" customWidth="1"/>
    <col min="15" max="15" width="0.85546875" customWidth="1"/>
    <col min="16" max="16" width="14.7109375" customWidth="1"/>
    <col min="17" max="17" width="1.7109375" customWidth="1"/>
    <col min="18" max="21" width="1.7109375" hidden="1" customWidth="1"/>
    <col min="22" max="16384" width="11.42578125" hidden="1"/>
  </cols>
  <sheetData>
    <row r="1" spans="1:18" ht="9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0"/>
    </row>
    <row r="2" spans="1:18" ht="18" customHeight="1">
      <c r="A2" s="21"/>
      <c r="B2" s="416" t="str">
        <f>+Datos!D12</f>
        <v xml:space="preserve"> </v>
      </c>
      <c r="C2" s="26"/>
      <c r="D2" s="116" t="str">
        <f>+Datos!D13</f>
        <v xml:space="preserve"> </v>
      </c>
      <c r="E2" s="26"/>
      <c r="F2" s="416" t="str">
        <f>+Datos!D14</f>
        <v xml:space="preserve"> </v>
      </c>
      <c r="G2" s="26"/>
      <c r="H2" s="416" t="str">
        <f>+Datos!D15</f>
        <v xml:space="preserve"> </v>
      </c>
      <c r="I2" s="26"/>
      <c r="J2" s="26"/>
      <c r="K2" s="26"/>
      <c r="L2" s="26"/>
      <c r="M2" s="26"/>
      <c r="N2" s="26"/>
      <c r="O2" s="26"/>
      <c r="P2" s="144" t="s">
        <v>241</v>
      </c>
      <c r="Q2" s="21"/>
      <c r="R2" s="20"/>
    </row>
    <row r="3" spans="1:18">
      <c r="A3" s="21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144" t="s">
        <v>16</v>
      </c>
      <c r="Q3" s="21"/>
      <c r="R3" s="20"/>
    </row>
    <row r="4" spans="1:18">
      <c r="A4" s="21"/>
      <c r="B4" s="417" t="str">
        <f>+Datos!D11</f>
        <v xml:space="preserve"> </v>
      </c>
      <c r="C4" s="417" t="str">
        <f>+Datos!J11</f>
        <v xml:space="preserve"> 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144">
        <f>+Datos!D10</f>
        <v>2025</v>
      </c>
      <c r="Q4" s="21"/>
      <c r="R4" s="20"/>
    </row>
    <row r="5" spans="1:18" ht="16.5">
      <c r="A5" s="21"/>
      <c r="B5" s="694" t="s">
        <v>143</v>
      </c>
      <c r="C5" s="695"/>
      <c r="D5" s="695"/>
      <c r="E5" s="695"/>
      <c r="F5" s="695"/>
      <c r="G5" s="695"/>
      <c r="H5" s="695"/>
      <c r="I5" s="695"/>
      <c r="J5" s="696"/>
      <c r="K5" s="26"/>
      <c r="L5" s="26"/>
      <c r="M5" s="26"/>
      <c r="N5" s="26"/>
      <c r="O5" s="26"/>
      <c r="P5" s="26"/>
      <c r="Q5" s="21"/>
      <c r="R5" s="20"/>
    </row>
    <row r="6" spans="1:18" ht="4.5" customHeight="1">
      <c r="A6" s="21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1"/>
      <c r="R6" s="20"/>
    </row>
    <row r="7" spans="1:18" ht="25.5">
      <c r="A7" s="21"/>
      <c r="B7" s="697" t="s">
        <v>49</v>
      </c>
      <c r="C7" s="698"/>
      <c r="D7" s="699"/>
      <c r="E7" s="26"/>
      <c r="F7" s="144" t="s">
        <v>92</v>
      </c>
      <c r="G7" s="26"/>
      <c r="H7" s="144" t="s">
        <v>93</v>
      </c>
      <c r="I7" s="26"/>
      <c r="J7" s="144" t="s">
        <v>94</v>
      </c>
      <c r="K7" s="26"/>
      <c r="L7" s="144" t="s">
        <v>15</v>
      </c>
      <c r="M7" s="26"/>
      <c r="N7" s="144" t="s">
        <v>95</v>
      </c>
      <c r="O7" s="26"/>
      <c r="P7" s="144" t="s">
        <v>37</v>
      </c>
      <c r="Q7" s="31"/>
      <c r="R7" s="20"/>
    </row>
    <row r="8" spans="1:18" ht="4.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0"/>
    </row>
    <row r="9" spans="1:18">
      <c r="A9" s="29">
        <v>1</v>
      </c>
      <c r="B9" s="700">
        <f>+'Patrimonio Bruto'!B13</f>
        <v>0</v>
      </c>
      <c r="C9" s="701"/>
      <c r="D9" s="702"/>
      <c r="E9" s="21"/>
      <c r="F9" s="262">
        <f>IF('Patrimonio Bruto'!E13="Efectivo",'Patrimonio Bruto'!R13,0)</f>
        <v>0</v>
      </c>
      <c r="G9" s="24"/>
      <c r="H9" s="262">
        <f>IF('Patrimonio Bruto'!E13="CxC",'Patrimonio Bruto'!R13,0)</f>
        <v>0</v>
      </c>
      <c r="I9" s="24"/>
      <c r="J9" s="262">
        <f>IF('Patrimonio Bruto'!E13="Inversiones",'Patrimonio Bruto'!R13,0)</f>
        <v>0</v>
      </c>
      <c r="K9" s="24"/>
      <c r="L9" s="262">
        <f>IF('Patrimonio Bruto'!E13="Inventarios",'Patrimonio Bruto'!R13,0)</f>
        <v>0</v>
      </c>
      <c r="M9" s="24"/>
      <c r="N9" s="262">
        <f>IF('Patrimonio Bruto'!E13="Activos Fijos",'Patrimonio Bruto'!R13,0)</f>
        <v>0</v>
      </c>
      <c r="O9" s="24"/>
      <c r="P9" s="262">
        <f>IF('Patrimonio Bruto'!E13="Otros Activos",'Patrimonio Bruto'!R13,0)</f>
        <v>0</v>
      </c>
      <c r="Q9" s="21"/>
      <c r="R9" s="20"/>
    </row>
    <row r="10" spans="1:18">
      <c r="A10" s="29">
        <v>2</v>
      </c>
      <c r="B10" s="691">
        <f>+'Patrimonio Bruto'!B14</f>
        <v>0</v>
      </c>
      <c r="C10" s="692"/>
      <c r="D10" s="693"/>
      <c r="E10" s="21"/>
      <c r="F10" s="471">
        <f>IF('Patrimonio Bruto'!E14="Efectivo",'Patrimonio Bruto'!R14,0)</f>
        <v>0</v>
      </c>
      <c r="G10" s="24"/>
      <c r="H10" s="471">
        <f>IF('Patrimonio Bruto'!E14="CxC",'Patrimonio Bruto'!R14,0)</f>
        <v>0</v>
      </c>
      <c r="I10" s="24"/>
      <c r="J10" s="471">
        <f>IF('Patrimonio Bruto'!E14="Inversiones",'Patrimonio Bruto'!R14,0)</f>
        <v>0</v>
      </c>
      <c r="K10" s="24"/>
      <c r="L10" s="471">
        <f>IF('Patrimonio Bruto'!E14="Inventarios",'Patrimonio Bruto'!R14,0)</f>
        <v>0</v>
      </c>
      <c r="M10" s="24"/>
      <c r="N10" s="471">
        <f>IF('Patrimonio Bruto'!E14="Activos Fijos",'Patrimonio Bruto'!R14,0)</f>
        <v>0</v>
      </c>
      <c r="O10" s="24"/>
      <c r="P10" s="471">
        <f>IF('Patrimonio Bruto'!E14="Otros Activos",'Patrimonio Bruto'!R14,0)</f>
        <v>0</v>
      </c>
      <c r="Q10" s="21"/>
      <c r="R10" s="20"/>
    </row>
    <row r="11" spans="1:18">
      <c r="A11" s="29">
        <v>3</v>
      </c>
      <c r="B11" s="691">
        <f>+'Patrimonio Bruto'!B15</f>
        <v>0</v>
      </c>
      <c r="C11" s="692"/>
      <c r="D11" s="693"/>
      <c r="E11" s="21"/>
      <c r="F11" s="471">
        <f>IF('Patrimonio Bruto'!E15="Efectivo",'Patrimonio Bruto'!R15,0)</f>
        <v>0</v>
      </c>
      <c r="G11" s="24"/>
      <c r="H11" s="471">
        <f>IF('Patrimonio Bruto'!E15="CxC",'Patrimonio Bruto'!R15,0)</f>
        <v>0</v>
      </c>
      <c r="I11" s="24"/>
      <c r="J11" s="471">
        <f>IF('Patrimonio Bruto'!E15="Inversiones",'Patrimonio Bruto'!R15,0)</f>
        <v>0</v>
      </c>
      <c r="K11" s="24"/>
      <c r="L11" s="471">
        <f>IF('Patrimonio Bruto'!E15="Inventarios",'Patrimonio Bruto'!R15,0)</f>
        <v>0</v>
      </c>
      <c r="M11" s="24"/>
      <c r="N11" s="471">
        <f>IF('Patrimonio Bruto'!E15="Activos Fijos",'Patrimonio Bruto'!R15,0)</f>
        <v>0</v>
      </c>
      <c r="O11" s="24"/>
      <c r="P11" s="471">
        <f>IF('Patrimonio Bruto'!E15="Otros Activos",'Patrimonio Bruto'!R15,0)</f>
        <v>0</v>
      </c>
      <c r="Q11" s="21"/>
      <c r="R11" s="20"/>
    </row>
    <row r="12" spans="1:18">
      <c r="A12" s="29">
        <v>4</v>
      </c>
      <c r="B12" s="691">
        <f>+'Patrimonio Bruto'!B16</f>
        <v>0</v>
      </c>
      <c r="C12" s="692"/>
      <c r="D12" s="693"/>
      <c r="E12" s="21"/>
      <c r="F12" s="471">
        <f>IF('Patrimonio Bruto'!E16="Efectivo",'Patrimonio Bruto'!R16,0)</f>
        <v>0</v>
      </c>
      <c r="G12" s="24"/>
      <c r="H12" s="471">
        <f>IF('Patrimonio Bruto'!E16="CxC",'Patrimonio Bruto'!R16,0)</f>
        <v>0</v>
      </c>
      <c r="I12" s="24"/>
      <c r="J12" s="471">
        <f>IF('Patrimonio Bruto'!E16="Inversiones",'Patrimonio Bruto'!R16,0)</f>
        <v>0</v>
      </c>
      <c r="K12" s="24"/>
      <c r="L12" s="471">
        <f>IF('Patrimonio Bruto'!E16="Inventarios",'Patrimonio Bruto'!R16,0)</f>
        <v>0</v>
      </c>
      <c r="M12" s="24"/>
      <c r="N12" s="471">
        <f>IF('Patrimonio Bruto'!E16="Activos Fijos",'Patrimonio Bruto'!R16,0)</f>
        <v>0</v>
      </c>
      <c r="O12" s="24"/>
      <c r="P12" s="471">
        <f>IF('Patrimonio Bruto'!E16="Otros Activos",'Patrimonio Bruto'!R16,0)</f>
        <v>0</v>
      </c>
      <c r="Q12" s="21"/>
      <c r="R12" s="20"/>
    </row>
    <row r="13" spans="1:18">
      <c r="A13" s="29">
        <v>5</v>
      </c>
      <c r="B13" s="691">
        <f>+'Patrimonio Bruto'!B17</f>
        <v>0</v>
      </c>
      <c r="C13" s="692"/>
      <c r="D13" s="693"/>
      <c r="E13" s="21"/>
      <c r="F13" s="471">
        <f>IF('Patrimonio Bruto'!E17="Efectivo",'Patrimonio Bruto'!R17,0)</f>
        <v>0</v>
      </c>
      <c r="G13" s="24"/>
      <c r="H13" s="471">
        <f>IF('Patrimonio Bruto'!E17="CxC",'Patrimonio Bruto'!R17,0)</f>
        <v>0</v>
      </c>
      <c r="I13" s="24"/>
      <c r="J13" s="471">
        <f>IF('Patrimonio Bruto'!E17="Inversiones",'Patrimonio Bruto'!R17,0)</f>
        <v>0</v>
      </c>
      <c r="K13" s="24"/>
      <c r="L13" s="471">
        <f>IF('Patrimonio Bruto'!E17="Inventarios",'Patrimonio Bruto'!R17,0)</f>
        <v>0</v>
      </c>
      <c r="M13" s="24"/>
      <c r="N13" s="471">
        <f>IF('Patrimonio Bruto'!E17="Activos Fijos",'Patrimonio Bruto'!R17,0)</f>
        <v>0</v>
      </c>
      <c r="O13" s="24"/>
      <c r="P13" s="471">
        <f>IF('Patrimonio Bruto'!E17="Otros Activos",'Patrimonio Bruto'!R17,0)</f>
        <v>0</v>
      </c>
      <c r="Q13" s="21"/>
      <c r="R13" s="20"/>
    </row>
    <row r="14" spans="1:18">
      <c r="A14" s="29">
        <v>6</v>
      </c>
      <c r="B14" s="691">
        <f>+'Patrimonio Bruto'!B18</f>
        <v>0</v>
      </c>
      <c r="C14" s="692"/>
      <c r="D14" s="693"/>
      <c r="E14" s="21"/>
      <c r="F14" s="471">
        <f>IF('Patrimonio Bruto'!E18="Efectivo",'Patrimonio Bruto'!R18,0)</f>
        <v>0</v>
      </c>
      <c r="G14" s="24"/>
      <c r="H14" s="471">
        <f>IF('Patrimonio Bruto'!E18="CxC",'Patrimonio Bruto'!R18,0)</f>
        <v>0</v>
      </c>
      <c r="I14" s="24"/>
      <c r="J14" s="471">
        <f>IF('Patrimonio Bruto'!E18="Inversiones",'Patrimonio Bruto'!R18,0)</f>
        <v>0</v>
      </c>
      <c r="K14" s="24"/>
      <c r="L14" s="471">
        <f>IF('Patrimonio Bruto'!E18="Inventarios",'Patrimonio Bruto'!R18,0)</f>
        <v>0</v>
      </c>
      <c r="M14" s="24"/>
      <c r="N14" s="471">
        <f>IF('Patrimonio Bruto'!E18="Activos Fijos",'Patrimonio Bruto'!R18,0)</f>
        <v>0</v>
      </c>
      <c r="O14" s="24"/>
      <c r="P14" s="471">
        <f>IF('Patrimonio Bruto'!E18="Otros Activos",'Patrimonio Bruto'!R18,0)</f>
        <v>0</v>
      </c>
      <c r="Q14" s="21"/>
      <c r="R14" s="20"/>
    </row>
    <row r="15" spans="1:18">
      <c r="A15" s="29">
        <v>7</v>
      </c>
      <c r="B15" s="691">
        <f>+'Patrimonio Bruto'!B19</f>
        <v>0</v>
      </c>
      <c r="C15" s="692"/>
      <c r="D15" s="693"/>
      <c r="E15" s="21"/>
      <c r="F15" s="471">
        <f>IF('Patrimonio Bruto'!E19="Efectivo",'Patrimonio Bruto'!R19,0)</f>
        <v>0</v>
      </c>
      <c r="G15" s="24"/>
      <c r="H15" s="471">
        <f>IF('Patrimonio Bruto'!E19="CxC",'Patrimonio Bruto'!R19,0)</f>
        <v>0</v>
      </c>
      <c r="I15" s="24"/>
      <c r="J15" s="471">
        <f>IF('Patrimonio Bruto'!E19="Inversiones",'Patrimonio Bruto'!R19,0)</f>
        <v>0</v>
      </c>
      <c r="K15" s="24"/>
      <c r="L15" s="471">
        <f>IF('Patrimonio Bruto'!E19="Inventarios",'Patrimonio Bruto'!R19,0)</f>
        <v>0</v>
      </c>
      <c r="M15" s="24"/>
      <c r="N15" s="471">
        <f>IF('Patrimonio Bruto'!E19="Activos Fijos",'Patrimonio Bruto'!R19,0)</f>
        <v>0</v>
      </c>
      <c r="O15" s="24"/>
      <c r="P15" s="471">
        <f>IF('Patrimonio Bruto'!E19="Otros Activos",'Patrimonio Bruto'!R19,0)</f>
        <v>0</v>
      </c>
      <c r="Q15" s="21"/>
      <c r="R15" s="20"/>
    </row>
    <row r="16" spans="1:18">
      <c r="A16" s="29">
        <v>8</v>
      </c>
      <c r="B16" s="691">
        <f>+'Patrimonio Bruto'!B20</f>
        <v>0</v>
      </c>
      <c r="C16" s="692"/>
      <c r="D16" s="693"/>
      <c r="E16" s="21"/>
      <c r="F16" s="471">
        <f>IF('Patrimonio Bruto'!E20="Efectivo",'Patrimonio Bruto'!R20,0)</f>
        <v>0</v>
      </c>
      <c r="G16" s="24"/>
      <c r="H16" s="471">
        <f>IF('Patrimonio Bruto'!E20="CxC",'Patrimonio Bruto'!R20,0)</f>
        <v>0</v>
      </c>
      <c r="I16" s="24"/>
      <c r="J16" s="471">
        <f>IF('Patrimonio Bruto'!E20="Inversiones",'Patrimonio Bruto'!R20,0)</f>
        <v>0</v>
      </c>
      <c r="K16" s="24"/>
      <c r="L16" s="471">
        <f>IF('Patrimonio Bruto'!E20="Inventarios",'Patrimonio Bruto'!R20,0)</f>
        <v>0</v>
      </c>
      <c r="M16" s="24"/>
      <c r="N16" s="471">
        <f>IF('Patrimonio Bruto'!E20="Activos Fijos",'Patrimonio Bruto'!R20,0)</f>
        <v>0</v>
      </c>
      <c r="O16" s="24"/>
      <c r="P16" s="471">
        <f>IF('Patrimonio Bruto'!E20="Otros Activos",'Patrimonio Bruto'!R20,0)</f>
        <v>0</v>
      </c>
      <c r="Q16" s="21"/>
      <c r="R16" s="20"/>
    </row>
    <row r="17" spans="1:18">
      <c r="A17" s="29">
        <v>9</v>
      </c>
      <c r="B17" s="691">
        <f>+'Patrimonio Bruto'!B21</f>
        <v>0</v>
      </c>
      <c r="C17" s="692"/>
      <c r="D17" s="693"/>
      <c r="E17" s="21"/>
      <c r="F17" s="471">
        <f>IF('Patrimonio Bruto'!E21="Efectivo",'Patrimonio Bruto'!R21,0)</f>
        <v>0</v>
      </c>
      <c r="G17" s="24"/>
      <c r="H17" s="471">
        <f>IF('Patrimonio Bruto'!E21="CxC",'Patrimonio Bruto'!R21,0)</f>
        <v>0</v>
      </c>
      <c r="I17" s="24"/>
      <c r="J17" s="471">
        <f>IF('Patrimonio Bruto'!E21="Inversiones",'Patrimonio Bruto'!R21,0)</f>
        <v>0</v>
      </c>
      <c r="K17" s="24"/>
      <c r="L17" s="471">
        <f>IF('Patrimonio Bruto'!E21="Inventarios",'Patrimonio Bruto'!R21,0)</f>
        <v>0</v>
      </c>
      <c r="M17" s="24"/>
      <c r="N17" s="471">
        <f>IF('Patrimonio Bruto'!E21="Activos Fijos",'Patrimonio Bruto'!R21,0)</f>
        <v>0</v>
      </c>
      <c r="O17" s="24"/>
      <c r="P17" s="471">
        <f>IF('Patrimonio Bruto'!E21="Otros Activos",'Patrimonio Bruto'!R21,0)</f>
        <v>0</v>
      </c>
      <c r="Q17" s="21"/>
      <c r="R17" s="20"/>
    </row>
    <row r="18" spans="1:18">
      <c r="A18" s="29">
        <v>10</v>
      </c>
      <c r="B18" s="691">
        <f>+'Patrimonio Bruto'!B22</f>
        <v>0</v>
      </c>
      <c r="C18" s="692"/>
      <c r="D18" s="693"/>
      <c r="E18" s="21"/>
      <c r="F18" s="471">
        <f>IF('Patrimonio Bruto'!E22="Efectivo",'Patrimonio Bruto'!R22,0)</f>
        <v>0</v>
      </c>
      <c r="G18" s="24"/>
      <c r="H18" s="471">
        <f>IF('Patrimonio Bruto'!E22="CxC",'Patrimonio Bruto'!R22,0)</f>
        <v>0</v>
      </c>
      <c r="I18" s="24"/>
      <c r="J18" s="471">
        <f>IF('Patrimonio Bruto'!E22="Inversiones",'Patrimonio Bruto'!R22,0)</f>
        <v>0</v>
      </c>
      <c r="K18" s="24"/>
      <c r="L18" s="471">
        <f>IF('Patrimonio Bruto'!E22="Inventarios",'Patrimonio Bruto'!R22,0)</f>
        <v>0</v>
      </c>
      <c r="M18" s="24"/>
      <c r="N18" s="471">
        <f>IF('Patrimonio Bruto'!E22="Activos Fijos",'Patrimonio Bruto'!R22,0)</f>
        <v>0</v>
      </c>
      <c r="O18" s="24"/>
      <c r="P18" s="471">
        <f>IF('Patrimonio Bruto'!E22="Otros Activos",'Patrimonio Bruto'!R22,0)</f>
        <v>0</v>
      </c>
      <c r="Q18" s="21"/>
      <c r="R18" s="20"/>
    </row>
    <row r="19" spans="1:18">
      <c r="A19" s="29">
        <v>11</v>
      </c>
      <c r="B19" s="691">
        <f>+'Patrimonio Bruto'!B23</f>
        <v>0</v>
      </c>
      <c r="C19" s="692"/>
      <c r="D19" s="693"/>
      <c r="E19" s="21"/>
      <c r="F19" s="471">
        <f>IF('Patrimonio Bruto'!E23="Efectivo",'Patrimonio Bruto'!R23,0)</f>
        <v>0</v>
      </c>
      <c r="G19" s="24"/>
      <c r="H19" s="471">
        <f>IF('Patrimonio Bruto'!E23="CxC",'Patrimonio Bruto'!R23,0)</f>
        <v>0</v>
      </c>
      <c r="I19" s="24"/>
      <c r="J19" s="471">
        <f>IF('Patrimonio Bruto'!E23="Inversiones",'Patrimonio Bruto'!R23,0)</f>
        <v>0</v>
      </c>
      <c r="K19" s="24"/>
      <c r="L19" s="471">
        <f>IF('Patrimonio Bruto'!E23="Inventarios",'Patrimonio Bruto'!R23,0)</f>
        <v>0</v>
      </c>
      <c r="M19" s="24"/>
      <c r="N19" s="471">
        <f>IF('Patrimonio Bruto'!E23="Activos Fijos",'Patrimonio Bruto'!R23,0)</f>
        <v>0</v>
      </c>
      <c r="O19" s="24"/>
      <c r="P19" s="471">
        <f>IF('Patrimonio Bruto'!E23="Otros Activos",'Patrimonio Bruto'!R23,0)</f>
        <v>0</v>
      </c>
      <c r="Q19" s="21"/>
      <c r="R19" s="20"/>
    </row>
    <row r="20" spans="1:18">
      <c r="A20" s="29">
        <v>12</v>
      </c>
      <c r="B20" s="691">
        <f>+'Patrimonio Bruto'!B24</f>
        <v>0</v>
      </c>
      <c r="C20" s="692"/>
      <c r="D20" s="693"/>
      <c r="E20" s="21"/>
      <c r="F20" s="471">
        <f>IF('Patrimonio Bruto'!E24="Efectivo",'Patrimonio Bruto'!R24,0)</f>
        <v>0</v>
      </c>
      <c r="G20" s="24"/>
      <c r="H20" s="471">
        <f>IF('Patrimonio Bruto'!E24="CxC",'Patrimonio Bruto'!R24,0)</f>
        <v>0</v>
      </c>
      <c r="I20" s="24"/>
      <c r="J20" s="471">
        <f>IF('Patrimonio Bruto'!E24="Inversiones",'Patrimonio Bruto'!R24,0)</f>
        <v>0</v>
      </c>
      <c r="K20" s="24"/>
      <c r="L20" s="471">
        <f>IF('Patrimonio Bruto'!E24="Inventarios",'Patrimonio Bruto'!R24,0)</f>
        <v>0</v>
      </c>
      <c r="M20" s="24"/>
      <c r="N20" s="471">
        <f>IF('Patrimonio Bruto'!E24="Activos Fijos",'Patrimonio Bruto'!R24,0)</f>
        <v>0</v>
      </c>
      <c r="O20" s="24"/>
      <c r="P20" s="471">
        <f>IF('Patrimonio Bruto'!E24="Otros Activos",'Patrimonio Bruto'!R24,0)</f>
        <v>0</v>
      </c>
      <c r="Q20" s="21"/>
      <c r="R20" s="20"/>
    </row>
    <row r="21" spans="1:18">
      <c r="A21" s="29">
        <v>13</v>
      </c>
      <c r="B21" s="691">
        <f>+'Patrimonio Bruto'!B25</f>
        <v>0</v>
      </c>
      <c r="C21" s="692"/>
      <c r="D21" s="693"/>
      <c r="E21" s="21"/>
      <c r="F21" s="471">
        <f>IF('Patrimonio Bruto'!E25="Efectivo",'Patrimonio Bruto'!R25,0)</f>
        <v>0</v>
      </c>
      <c r="G21" s="24"/>
      <c r="H21" s="471">
        <f>IF('Patrimonio Bruto'!E25="CxC",'Patrimonio Bruto'!R25,0)</f>
        <v>0</v>
      </c>
      <c r="I21" s="24"/>
      <c r="J21" s="471">
        <f>IF('Patrimonio Bruto'!E25="Inversiones",'Patrimonio Bruto'!R25,0)</f>
        <v>0</v>
      </c>
      <c r="K21" s="24"/>
      <c r="L21" s="471">
        <f>IF('Patrimonio Bruto'!E25="Inventarios",'Patrimonio Bruto'!R25,0)</f>
        <v>0</v>
      </c>
      <c r="M21" s="24"/>
      <c r="N21" s="471">
        <f>IF('Patrimonio Bruto'!E25="Activos Fijos",'Patrimonio Bruto'!R25,0)</f>
        <v>0</v>
      </c>
      <c r="O21" s="24"/>
      <c r="P21" s="471">
        <f>IF('Patrimonio Bruto'!E25="Otros Activos",'Patrimonio Bruto'!R25,0)</f>
        <v>0</v>
      </c>
      <c r="Q21" s="21"/>
      <c r="R21" s="20"/>
    </row>
    <row r="22" spans="1:18">
      <c r="A22" s="29">
        <v>14</v>
      </c>
      <c r="B22" s="691">
        <f>+'Patrimonio Bruto'!B26</f>
        <v>0</v>
      </c>
      <c r="C22" s="692"/>
      <c r="D22" s="693"/>
      <c r="E22" s="21"/>
      <c r="F22" s="471">
        <f>IF('Patrimonio Bruto'!E26="Efectivo",'Patrimonio Bruto'!R26,0)</f>
        <v>0</v>
      </c>
      <c r="G22" s="24"/>
      <c r="H22" s="471">
        <f>IF('Patrimonio Bruto'!E26="CxC",'Patrimonio Bruto'!R26,0)</f>
        <v>0</v>
      </c>
      <c r="I22" s="24"/>
      <c r="J22" s="471">
        <f>IF('Patrimonio Bruto'!E26="Inversiones",'Patrimonio Bruto'!R26,0)</f>
        <v>0</v>
      </c>
      <c r="K22" s="24"/>
      <c r="L22" s="471">
        <f>IF('Patrimonio Bruto'!E26="Inventarios",'Patrimonio Bruto'!R26,0)</f>
        <v>0</v>
      </c>
      <c r="M22" s="24"/>
      <c r="N22" s="471">
        <f>IF('Patrimonio Bruto'!E26="Activos Fijos",'Patrimonio Bruto'!R26,0)</f>
        <v>0</v>
      </c>
      <c r="O22" s="24"/>
      <c r="P22" s="471">
        <f>IF('Patrimonio Bruto'!E26="Otros Activos",'Patrimonio Bruto'!R26,0)</f>
        <v>0</v>
      </c>
      <c r="Q22" s="21"/>
      <c r="R22" s="20"/>
    </row>
    <row r="23" spans="1:18">
      <c r="A23" s="29">
        <v>15</v>
      </c>
      <c r="B23" s="691">
        <f>+'Patrimonio Bruto'!B27</f>
        <v>0</v>
      </c>
      <c r="C23" s="692"/>
      <c r="D23" s="693"/>
      <c r="E23" s="21"/>
      <c r="F23" s="471">
        <f>IF('Patrimonio Bruto'!E27="Efectivo",'Patrimonio Bruto'!R27,0)</f>
        <v>0</v>
      </c>
      <c r="G23" s="24"/>
      <c r="H23" s="471">
        <f>IF('Patrimonio Bruto'!E27="CxC",'Patrimonio Bruto'!R27,0)</f>
        <v>0</v>
      </c>
      <c r="I23" s="24"/>
      <c r="J23" s="471">
        <f>IF('Patrimonio Bruto'!E27="Inversiones",'Patrimonio Bruto'!R27,0)</f>
        <v>0</v>
      </c>
      <c r="K23" s="24"/>
      <c r="L23" s="471">
        <f>IF('Patrimonio Bruto'!E27="Inventarios",'Patrimonio Bruto'!R27,0)</f>
        <v>0</v>
      </c>
      <c r="M23" s="24"/>
      <c r="N23" s="471">
        <f>IF('Patrimonio Bruto'!E27="Activos Fijos",'Patrimonio Bruto'!R27,0)</f>
        <v>0</v>
      </c>
      <c r="O23" s="24"/>
      <c r="P23" s="471">
        <f>IF('Patrimonio Bruto'!E27="Otros Activos",'Patrimonio Bruto'!R27,0)</f>
        <v>0</v>
      </c>
      <c r="Q23" s="21"/>
      <c r="R23" s="20"/>
    </row>
    <row r="24" spans="1:18">
      <c r="A24" s="29">
        <v>16</v>
      </c>
      <c r="B24" s="691">
        <f>+'Patrimonio Bruto'!B28</f>
        <v>0</v>
      </c>
      <c r="C24" s="692"/>
      <c r="D24" s="693"/>
      <c r="E24" s="21"/>
      <c r="F24" s="471">
        <f>IF('Patrimonio Bruto'!E28="Efectivo",'Patrimonio Bruto'!R28,0)</f>
        <v>0</v>
      </c>
      <c r="G24" s="24"/>
      <c r="H24" s="471">
        <f>IF('Patrimonio Bruto'!E28="CxC",'Patrimonio Bruto'!R28,0)</f>
        <v>0</v>
      </c>
      <c r="I24" s="24"/>
      <c r="J24" s="471">
        <f>IF('Patrimonio Bruto'!E28="Inversiones",'Patrimonio Bruto'!R28,0)</f>
        <v>0</v>
      </c>
      <c r="K24" s="24"/>
      <c r="L24" s="471">
        <f>IF('Patrimonio Bruto'!E28="Inventarios",'Patrimonio Bruto'!R28,0)</f>
        <v>0</v>
      </c>
      <c r="M24" s="24"/>
      <c r="N24" s="471">
        <f>IF('Patrimonio Bruto'!E28="Activos Fijos",'Patrimonio Bruto'!R28,0)</f>
        <v>0</v>
      </c>
      <c r="O24" s="24"/>
      <c r="P24" s="471">
        <f>IF('Patrimonio Bruto'!E28="Otros Activos",'Patrimonio Bruto'!R28,0)</f>
        <v>0</v>
      </c>
      <c r="Q24" s="21"/>
      <c r="R24" s="20"/>
    </row>
    <row r="25" spans="1:18">
      <c r="A25" s="29">
        <v>17</v>
      </c>
      <c r="B25" s="691">
        <f>+'Patrimonio Bruto'!B29</f>
        <v>0</v>
      </c>
      <c r="C25" s="692"/>
      <c r="D25" s="693"/>
      <c r="E25" s="21"/>
      <c r="F25" s="471">
        <f>IF('Patrimonio Bruto'!E29="Efectivo",'Patrimonio Bruto'!R29,0)</f>
        <v>0</v>
      </c>
      <c r="G25" s="24"/>
      <c r="H25" s="471">
        <f>IF('Patrimonio Bruto'!E29="CxC",'Patrimonio Bruto'!R29,0)</f>
        <v>0</v>
      </c>
      <c r="I25" s="24"/>
      <c r="J25" s="471">
        <f>IF('Patrimonio Bruto'!E29="Inversiones",'Patrimonio Bruto'!R29,0)</f>
        <v>0</v>
      </c>
      <c r="K25" s="24"/>
      <c r="L25" s="471">
        <f>IF('Patrimonio Bruto'!E29="Inventarios",'Patrimonio Bruto'!R29,0)</f>
        <v>0</v>
      </c>
      <c r="M25" s="24"/>
      <c r="N25" s="471">
        <f>IF('Patrimonio Bruto'!E29="Activos Fijos",'Patrimonio Bruto'!R29,0)</f>
        <v>0</v>
      </c>
      <c r="O25" s="24"/>
      <c r="P25" s="471">
        <f>IF('Patrimonio Bruto'!E29="Otros Activos",'Patrimonio Bruto'!R29,0)</f>
        <v>0</v>
      </c>
      <c r="Q25" s="21"/>
      <c r="R25" s="20"/>
    </row>
    <row r="26" spans="1:18">
      <c r="A26" s="29">
        <v>18</v>
      </c>
      <c r="B26" s="691">
        <f>+'Patrimonio Bruto'!B30</f>
        <v>0</v>
      </c>
      <c r="C26" s="692"/>
      <c r="D26" s="693"/>
      <c r="E26" s="21"/>
      <c r="F26" s="471">
        <f>IF('Patrimonio Bruto'!E30="Efectivo",'Patrimonio Bruto'!R30,0)</f>
        <v>0</v>
      </c>
      <c r="G26" s="24"/>
      <c r="H26" s="471">
        <f>IF('Patrimonio Bruto'!E30="CxC",'Patrimonio Bruto'!R30,0)</f>
        <v>0</v>
      </c>
      <c r="I26" s="24"/>
      <c r="J26" s="471">
        <f>IF('Patrimonio Bruto'!E30="Inversiones",'Patrimonio Bruto'!R30,0)</f>
        <v>0</v>
      </c>
      <c r="K26" s="24"/>
      <c r="L26" s="471">
        <f>IF('Patrimonio Bruto'!E30="Inventarios",'Patrimonio Bruto'!R30,0)</f>
        <v>0</v>
      </c>
      <c r="M26" s="24"/>
      <c r="N26" s="471">
        <f>IF('Patrimonio Bruto'!E30="Activos Fijos",'Patrimonio Bruto'!R30,0)</f>
        <v>0</v>
      </c>
      <c r="O26" s="24"/>
      <c r="P26" s="471">
        <f>IF('Patrimonio Bruto'!E30="Otros Activos",'Patrimonio Bruto'!R30,0)</f>
        <v>0</v>
      </c>
      <c r="Q26" s="21"/>
      <c r="R26" s="20"/>
    </row>
    <row r="27" spans="1:18">
      <c r="A27" s="29">
        <v>19</v>
      </c>
      <c r="B27" s="691">
        <f>+'Patrimonio Bruto'!B31</f>
        <v>0</v>
      </c>
      <c r="C27" s="692"/>
      <c r="D27" s="693"/>
      <c r="E27" s="21"/>
      <c r="F27" s="471">
        <f>IF('Patrimonio Bruto'!E31="Efectivo",'Patrimonio Bruto'!R31,0)</f>
        <v>0</v>
      </c>
      <c r="G27" s="24"/>
      <c r="H27" s="471">
        <f>IF('Patrimonio Bruto'!E31="CxC",'Patrimonio Bruto'!R31,0)</f>
        <v>0</v>
      </c>
      <c r="I27" s="24"/>
      <c r="J27" s="471">
        <f>IF('Patrimonio Bruto'!E31="Inversiones",'Patrimonio Bruto'!R31,0)</f>
        <v>0</v>
      </c>
      <c r="K27" s="24"/>
      <c r="L27" s="471">
        <f>IF('Patrimonio Bruto'!E31="Inventarios",'Patrimonio Bruto'!R31,0)</f>
        <v>0</v>
      </c>
      <c r="M27" s="24"/>
      <c r="N27" s="471">
        <f>IF('Patrimonio Bruto'!E31="Activos Fijos",'Patrimonio Bruto'!R31,0)</f>
        <v>0</v>
      </c>
      <c r="O27" s="24"/>
      <c r="P27" s="471">
        <f>IF('Patrimonio Bruto'!E31="Otros Activos",'Patrimonio Bruto'!R31,0)</f>
        <v>0</v>
      </c>
      <c r="Q27" s="21"/>
      <c r="R27" s="20"/>
    </row>
    <row r="28" spans="1:18">
      <c r="A28" s="29">
        <v>20</v>
      </c>
      <c r="B28" s="691">
        <f>+'Patrimonio Bruto'!B32</f>
        <v>0</v>
      </c>
      <c r="C28" s="692"/>
      <c r="D28" s="693"/>
      <c r="E28" s="21"/>
      <c r="F28" s="471">
        <f>IF('Patrimonio Bruto'!E32="Efectivo",'Patrimonio Bruto'!R32,0)</f>
        <v>0</v>
      </c>
      <c r="G28" s="24"/>
      <c r="H28" s="471">
        <f>IF('Patrimonio Bruto'!E32="CxC",'Patrimonio Bruto'!R32,0)</f>
        <v>0</v>
      </c>
      <c r="I28" s="24"/>
      <c r="J28" s="471">
        <f>IF('Patrimonio Bruto'!E32="Inversiones",'Patrimonio Bruto'!R32,0)</f>
        <v>0</v>
      </c>
      <c r="K28" s="24"/>
      <c r="L28" s="471">
        <f>IF('Patrimonio Bruto'!E32="Inventarios",'Patrimonio Bruto'!R32,0)</f>
        <v>0</v>
      </c>
      <c r="M28" s="24"/>
      <c r="N28" s="471">
        <f>IF('Patrimonio Bruto'!E32="Activos Fijos",'Patrimonio Bruto'!R32,0)</f>
        <v>0</v>
      </c>
      <c r="O28" s="24"/>
      <c r="P28" s="471">
        <f>IF('Patrimonio Bruto'!E32="Otros Activos",'Patrimonio Bruto'!R32,0)</f>
        <v>0</v>
      </c>
      <c r="Q28" s="21"/>
      <c r="R28" s="20"/>
    </row>
    <row r="29" spans="1:18">
      <c r="A29" s="29">
        <v>21</v>
      </c>
      <c r="B29" s="691">
        <f>+'Patrimonio Bruto'!B33</f>
        <v>0</v>
      </c>
      <c r="C29" s="692"/>
      <c r="D29" s="693"/>
      <c r="E29" s="21"/>
      <c r="F29" s="471">
        <f>IF('Patrimonio Bruto'!E33="Efectivo",'Patrimonio Bruto'!R33,0)</f>
        <v>0</v>
      </c>
      <c r="G29" s="24"/>
      <c r="H29" s="471">
        <f>IF('Patrimonio Bruto'!E33="CxC",'Patrimonio Bruto'!R33,0)</f>
        <v>0</v>
      </c>
      <c r="I29" s="24"/>
      <c r="J29" s="471">
        <f>IF('Patrimonio Bruto'!E33="Inversiones",'Patrimonio Bruto'!R33,0)</f>
        <v>0</v>
      </c>
      <c r="K29" s="24"/>
      <c r="L29" s="471">
        <f>IF('Patrimonio Bruto'!E33="Inventarios",'Patrimonio Bruto'!R33,0)</f>
        <v>0</v>
      </c>
      <c r="M29" s="24"/>
      <c r="N29" s="471">
        <f>IF('Patrimonio Bruto'!E33="Activos Fijos",'Patrimonio Bruto'!R33,0)</f>
        <v>0</v>
      </c>
      <c r="O29" s="24"/>
      <c r="P29" s="471">
        <f>IF('Patrimonio Bruto'!E33="Otros Activos",'Patrimonio Bruto'!R33,0)</f>
        <v>0</v>
      </c>
      <c r="Q29" s="21"/>
      <c r="R29" s="20"/>
    </row>
    <row r="30" spans="1:18">
      <c r="A30" s="29">
        <v>22</v>
      </c>
      <c r="B30" s="691">
        <f>+'Patrimonio Bruto'!B34</f>
        <v>0</v>
      </c>
      <c r="C30" s="692"/>
      <c r="D30" s="693"/>
      <c r="E30" s="21"/>
      <c r="F30" s="471">
        <f>IF('Patrimonio Bruto'!E34="Efectivo",'Patrimonio Bruto'!R34,0)</f>
        <v>0</v>
      </c>
      <c r="G30" s="24"/>
      <c r="H30" s="471">
        <f>IF('Patrimonio Bruto'!E34="CxC",'Patrimonio Bruto'!R34,0)</f>
        <v>0</v>
      </c>
      <c r="I30" s="24"/>
      <c r="J30" s="471">
        <f>IF('Patrimonio Bruto'!E34="Inversiones",'Patrimonio Bruto'!R34,0)</f>
        <v>0</v>
      </c>
      <c r="K30" s="24"/>
      <c r="L30" s="471">
        <f>IF('Patrimonio Bruto'!E34="Inventarios",'Patrimonio Bruto'!R34,0)</f>
        <v>0</v>
      </c>
      <c r="M30" s="24"/>
      <c r="N30" s="471">
        <f>IF('Patrimonio Bruto'!E34="Activos Fijos",'Patrimonio Bruto'!R34,0)</f>
        <v>0</v>
      </c>
      <c r="O30" s="24"/>
      <c r="P30" s="471">
        <f>IF('Patrimonio Bruto'!E34="Otros Activos",'Patrimonio Bruto'!R34,0)</f>
        <v>0</v>
      </c>
      <c r="Q30" s="21"/>
      <c r="R30" s="20"/>
    </row>
    <row r="31" spans="1:18">
      <c r="A31" s="29">
        <v>23</v>
      </c>
      <c r="B31" s="691">
        <f>+'Patrimonio Bruto'!B35</f>
        <v>0</v>
      </c>
      <c r="C31" s="692"/>
      <c r="D31" s="693"/>
      <c r="E31" s="21"/>
      <c r="F31" s="471">
        <f>IF('Patrimonio Bruto'!E35="Efectivo",'Patrimonio Bruto'!R35,0)</f>
        <v>0</v>
      </c>
      <c r="G31" s="24"/>
      <c r="H31" s="471">
        <f>IF('Patrimonio Bruto'!E35="CxC",'Patrimonio Bruto'!R35,0)</f>
        <v>0</v>
      </c>
      <c r="I31" s="24"/>
      <c r="J31" s="471">
        <f>IF('Patrimonio Bruto'!E35="Inversiones",'Patrimonio Bruto'!R35,0)</f>
        <v>0</v>
      </c>
      <c r="K31" s="24"/>
      <c r="L31" s="471">
        <f>IF('Patrimonio Bruto'!E35="Inventarios",'Patrimonio Bruto'!R35,0)</f>
        <v>0</v>
      </c>
      <c r="M31" s="24"/>
      <c r="N31" s="471">
        <f>IF('Patrimonio Bruto'!E35="Activos Fijos",'Patrimonio Bruto'!R35,0)</f>
        <v>0</v>
      </c>
      <c r="O31" s="24"/>
      <c r="P31" s="471">
        <f>IF('Patrimonio Bruto'!E35="Otros Activos",'Patrimonio Bruto'!R35,0)</f>
        <v>0</v>
      </c>
      <c r="Q31" s="21"/>
      <c r="R31" s="20"/>
    </row>
    <row r="32" spans="1:18">
      <c r="A32" s="29">
        <v>24</v>
      </c>
      <c r="B32" s="675">
        <f>+'Patrimonio Bruto'!B36</f>
        <v>0</v>
      </c>
      <c r="C32" s="676"/>
      <c r="D32" s="677"/>
      <c r="E32" s="21"/>
      <c r="F32" s="472">
        <f>IF('Patrimonio Bruto'!E36="Efectivo",'Patrimonio Bruto'!R36,0)</f>
        <v>0</v>
      </c>
      <c r="G32" s="24"/>
      <c r="H32" s="472">
        <f>IF('Patrimonio Bruto'!E36="CxC",'Patrimonio Bruto'!R36,0)</f>
        <v>0</v>
      </c>
      <c r="I32" s="24"/>
      <c r="J32" s="472">
        <f>IF('Patrimonio Bruto'!E36="Inversiones",'Patrimonio Bruto'!R36,0)</f>
        <v>0</v>
      </c>
      <c r="K32" s="24"/>
      <c r="L32" s="472">
        <f>IF('Patrimonio Bruto'!E36="Inventarios",'Patrimonio Bruto'!R36,0)</f>
        <v>0</v>
      </c>
      <c r="M32" s="24"/>
      <c r="N32" s="472">
        <f>IF('Patrimonio Bruto'!E36="Activos Fijos",'Patrimonio Bruto'!R36,0)</f>
        <v>0</v>
      </c>
      <c r="O32" s="24"/>
      <c r="P32" s="472">
        <f>IF('Patrimonio Bruto'!E36="Otros Activos",'Patrimonio Bruto'!R36,0)</f>
        <v>0</v>
      </c>
      <c r="Q32" s="21"/>
      <c r="R32" s="20"/>
    </row>
    <row r="33" spans="1:18" ht="4.5" customHeight="1">
      <c r="A33" s="29"/>
      <c r="B33" s="678"/>
      <c r="C33" s="678"/>
      <c r="D33" s="678"/>
      <c r="E33" s="2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1"/>
      <c r="R33" s="20"/>
    </row>
    <row r="34" spans="1:18">
      <c r="A34" s="29"/>
      <c r="B34" s="706" t="s">
        <v>70</v>
      </c>
      <c r="C34" s="707"/>
      <c r="D34" s="708"/>
      <c r="E34" s="26"/>
      <c r="F34" s="116">
        <f>SUM(F9:F32)</f>
        <v>0</v>
      </c>
      <c r="G34" s="16"/>
      <c r="H34" s="116">
        <f>SUM(H9:H32)</f>
        <v>0</v>
      </c>
      <c r="I34" s="16"/>
      <c r="J34" s="116">
        <f>SUM(J9:J32)</f>
        <v>0</v>
      </c>
      <c r="K34" s="16"/>
      <c r="L34" s="116">
        <f>SUM(L9:L32)</f>
        <v>0</v>
      </c>
      <c r="M34" s="16"/>
      <c r="N34" s="116">
        <f>SUM(N9:N32)</f>
        <v>0</v>
      </c>
      <c r="O34" s="16"/>
      <c r="P34" s="116">
        <f>SUM(P9:P32)</f>
        <v>0</v>
      </c>
      <c r="Q34" s="21"/>
      <c r="R34" s="20"/>
    </row>
    <row r="35" spans="1:18" ht="4.5" customHeight="1">
      <c r="A35" s="29"/>
      <c r="B35" s="682"/>
      <c r="C35" s="682"/>
      <c r="D35" s="682"/>
      <c r="E35" s="35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21"/>
      <c r="R35" s="20"/>
    </row>
    <row r="36" spans="1:18">
      <c r="A36" s="29"/>
      <c r="B36" s="713" t="s">
        <v>73</v>
      </c>
      <c r="C36" s="714"/>
      <c r="D36" s="715"/>
      <c r="E36" s="26"/>
      <c r="F36" s="157">
        <v>29</v>
      </c>
      <c r="G36" s="16"/>
      <c r="H36" s="157">
        <v>29</v>
      </c>
      <c r="I36" s="16"/>
      <c r="J36" s="157">
        <v>29</v>
      </c>
      <c r="K36" s="16"/>
      <c r="L36" s="157">
        <v>29</v>
      </c>
      <c r="M36" s="16"/>
      <c r="N36" s="157">
        <v>29</v>
      </c>
      <c r="O36" s="16"/>
      <c r="P36" s="157">
        <v>29</v>
      </c>
      <c r="Q36" s="21"/>
      <c r="R36" s="20"/>
    </row>
    <row r="37" spans="1:18" ht="4.5" customHeight="1">
      <c r="A37" s="29"/>
      <c r="B37" s="682"/>
      <c r="C37" s="682"/>
      <c r="D37" s="682"/>
      <c r="E37" s="35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21"/>
      <c r="R37" s="20"/>
    </row>
    <row r="38" spans="1:18">
      <c r="A38" s="29"/>
      <c r="B38" s="709" t="s">
        <v>74</v>
      </c>
      <c r="C38" s="710"/>
      <c r="D38" s="711"/>
      <c r="E38" s="16"/>
      <c r="F38" s="116">
        <f>ROUND(+F34,-3)</f>
        <v>0</v>
      </c>
      <c r="G38" s="16"/>
      <c r="H38" s="116">
        <f>ROUND(+H34,-3)</f>
        <v>0</v>
      </c>
      <c r="I38" s="16"/>
      <c r="J38" s="116">
        <f>ROUND(+J34,-3)</f>
        <v>0</v>
      </c>
      <c r="K38" s="16"/>
      <c r="L38" s="116">
        <f>ROUND(+L34,-3)</f>
        <v>0</v>
      </c>
      <c r="M38" s="16"/>
      <c r="N38" s="116">
        <f>ROUND(+N34,-3)</f>
        <v>0</v>
      </c>
      <c r="O38" s="16"/>
      <c r="P38" s="116">
        <f>ROUND(+P34,-3)</f>
        <v>0</v>
      </c>
      <c r="Q38" s="21"/>
      <c r="R38" s="20"/>
    </row>
    <row r="39" spans="1:18" ht="4.5" customHeight="1">
      <c r="A39" s="29"/>
      <c r="B39" s="716"/>
      <c r="C39" s="716"/>
      <c r="D39" s="7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1"/>
      <c r="R39" s="20"/>
    </row>
    <row r="40" spans="1:18">
      <c r="A40" s="21"/>
      <c r="B40" s="703" t="s">
        <v>96</v>
      </c>
      <c r="C40" s="704"/>
      <c r="D40" s="704"/>
      <c r="E40" s="704"/>
      <c r="F40" s="704"/>
      <c r="G40" s="704"/>
      <c r="H40" s="704"/>
      <c r="I40" s="704"/>
      <c r="J40" s="705"/>
      <c r="K40" s="16"/>
      <c r="L40" s="16"/>
      <c r="M40" s="16"/>
      <c r="N40" s="194" t="s">
        <v>145</v>
      </c>
      <c r="O40" s="16"/>
      <c r="P40" s="116">
        <f>+F38+H38+J38+L38+N38+P38</f>
        <v>0</v>
      </c>
      <c r="Q40" s="21"/>
      <c r="R40" s="20"/>
    </row>
    <row r="41" spans="1:18" ht="4.5" customHeight="1">
      <c r="A41" s="21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1"/>
      <c r="R41" s="20"/>
    </row>
    <row r="42" spans="1:18">
      <c r="A42" s="29">
        <v>1</v>
      </c>
      <c r="B42" s="656"/>
      <c r="C42" s="657"/>
      <c r="D42" s="712"/>
      <c r="E42" s="24"/>
      <c r="F42" s="45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1"/>
      <c r="R42" s="20"/>
    </row>
    <row r="43" spans="1:18">
      <c r="A43" s="29">
        <v>2</v>
      </c>
      <c r="B43" s="672"/>
      <c r="C43" s="673"/>
      <c r="D43" s="690"/>
      <c r="E43" s="24"/>
      <c r="F43" s="46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1"/>
      <c r="R43" s="20"/>
    </row>
    <row r="44" spans="1:18">
      <c r="A44" s="29">
        <v>3</v>
      </c>
      <c r="B44" s="236"/>
      <c r="C44" s="237"/>
      <c r="D44" s="238"/>
      <c r="E44" s="24"/>
      <c r="F44" s="46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1"/>
      <c r="R44" s="20"/>
    </row>
    <row r="45" spans="1:18" ht="13.5">
      <c r="A45" s="29">
        <v>4</v>
      </c>
      <c r="B45" s="717"/>
      <c r="C45" s="718"/>
      <c r="D45" s="719"/>
      <c r="E45" s="24"/>
      <c r="F45" s="47"/>
      <c r="G45" s="24"/>
      <c r="H45" s="418" t="s">
        <v>97</v>
      </c>
      <c r="I45" s="150"/>
      <c r="J45" s="419"/>
      <c r="K45" s="16"/>
      <c r="L45" s="116">
        <f>+F42+F43+F44+F45</f>
        <v>0</v>
      </c>
      <c r="M45" s="16"/>
      <c r="N45" s="420" t="s">
        <v>144</v>
      </c>
      <c r="O45" s="16"/>
      <c r="P45" s="116">
        <f>+F34+H34+J34+L34+N34+P34+L45</f>
        <v>0</v>
      </c>
      <c r="Q45" s="21"/>
      <c r="R45" s="20"/>
    </row>
    <row r="46" spans="1:18">
      <c r="A46" s="29"/>
      <c r="B46" s="678"/>
      <c r="C46" s="678"/>
      <c r="D46" s="678"/>
      <c r="E46" s="21"/>
      <c r="F46" s="25"/>
      <c r="G46" s="21"/>
      <c r="H46" s="25"/>
      <c r="I46" s="25"/>
      <c r="J46" s="25"/>
      <c r="K46" s="25"/>
      <c r="L46" s="25"/>
      <c r="M46" s="21"/>
      <c r="N46" s="720" t="str">
        <f>IF(P45='Patrimonio Bruto'!R39,"  ","Revise Hoja Patrimonio Bruto vr no coincide")</f>
        <v xml:space="preserve">  </v>
      </c>
      <c r="O46" s="720"/>
      <c r="P46" s="720"/>
      <c r="Q46" s="21"/>
      <c r="R46" s="20"/>
    </row>
    <row r="47" spans="1:18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720"/>
      <c r="O47" s="720"/>
      <c r="P47" s="720"/>
      <c r="Q47" s="21"/>
      <c r="R47" s="20"/>
    </row>
    <row r="48" spans="1:18" ht="17.25" customHeight="1">
      <c r="A48" s="21"/>
      <c r="B48" s="416" t="str">
        <f>+B2</f>
        <v xml:space="preserve"> </v>
      </c>
      <c r="C48" s="26"/>
      <c r="D48" s="416" t="str">
        <f>+D2</f>
        <v xml:space="preserve"> </v>
      </c>
      <c r="E48" s="26"/>
      <c r="F48" s="416" t="str">
        <f>+F2</f>
        <v xml:space="preserve"> </v>
      </c>
      <c r="G48" s="26"/>
      <c r="H48" s="416" t="str">
        <f>+H2</f>
        <v xml:space="preserve"> </v>
      </c>
      <c r="I48" s="26"/>
      <c r="J48" s="26"/>
      <c r="K48" s="26"/>
      <c r="L48" s="26"/>
      <c r="M48" s="26"/>
      <c r="N48" s="26"/>
      <c r="O48" s="26"/>
      <c r="P48" s="144" t="s">
        <v>133</v>
      </c>
      <c r="Q48" s="18"/>
      <c r="R48" s="20"/>
    </row>
    <row r="49" spans="1:18">
      <c r="A49" s="21"/>
      <c r="B49" s="26"/>
      <c r="C49" s="26"/>
      <c r="D49" s="26"/>
      <c r="E49" s="3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144" t="s">
        <v>16</v>
      </c>
      <c r="Q49" s="18"/>
      <c r="R49" s="20"/>
    </row>
    <row r="50" spans="1:18">
      <c r="A50" s="21"/>
      <c r="B50" s="417" t="str">
        <f>+B4</f>
        <v xml:space="preserve"> </v>
      </c>
      <c r="C50" s="417" t="str">
        <f>+C4</f>
        <v xml:space="preserve"> </v>
      </c>
      <c r="D50" s="26"/>
      <c r="E50" s="26"/>
      <c r="F50" s="26"/>
      <c r="G50" s="26"/>
      <c r="H50" s="26"/>
      <c r="I50" s="36"/>
      <c r="J50" s="26"/>
      <c r="K50" s="26"/>
      <c r="L50" s="26"/>
      <c r="M50" s="26"/>
      <c r="N50" s="26"/>
      <c r="O50" s="26"/>
      <c r="P50" s="144">
        <f>+P4</f>
        <v>2025</v>
      </c>
      <c r="Q50" s="18"/>
      <c r="R50" s="20"/>
    </row>
    <row r="51" spans="1:18" ht="16.5">
      <c r="A51" s="21"/>
      <c r="B51" s="694" t="s">
        <v>98</v>
      </c>
      <c r="C51" s="695"/>
      <c r="D51" s="695"/>
      <c r="E51" s="695"/>
      <c r="F51" s="696"/>
      <c r="G51" s="26"/>
      <c r="H51" s="26"/>
      <c r="I51" s="36"/>
      <c r="J51" s="26"/>
      <c r="K51" s="26"/>
      <c r="L51" s="694" t="s">
        <v>99</v>
      </c>
      <c r="M51" s="695"/>
      <c r="N51" s="695"/>
      <c r="O51" s="695"/>
      <c r="P51" s="696"/>
      <c r="Q51" s="18"/>
      <c r="R51" s="20"/>
    </row>
    <row r="52" spans="1:18" ht="4.5" customHeight="1">
      <c r="A52" s="21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18"/>
      <c r="R52" s="20"/>
    </row>
    <row r="53" spans="1:18" ht="16.5">
      <c r="A53" s="21"/>
      <c r="B53" s="697" t="s">
        <v>49</v>
      </c>
      <c r="C53" s="698"/>
      <c r="D53" s="699"/>
      <c r="E53" s="26"/>
      <c r="F53" s="144" t="s">
        <v>0</v>
      </c>
      <c r="G53" s="26"/>
      <c r="H53" s="26"/>
      <c r="I53" s="26"/>
      <c r="J53" s="26"/>
      <c r="K53" s="26"/>
      <c r="L53" s="697" t="s">
        <v>49</v>
      </c>
      <c r="M53" s="698"/>
      <c r="N53" s="699"/>
      <c r="O53" s="26"/>
      <c r="P53" s="144" t="s">
        <v>0</v>
      </c>
      <c r="Q53" s="160"/>
      <c r="R53" s="20"/>
    </row>
    <row r="54" spans="1:18" ht="4.5" customHeight="1">
      <c r="A54" s="21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18"/>
      <c r="R54" s="20"/>
    </row>
    <row r="55" spans="1:18">
      <c r="A55" s="29">
        <v>1</v>
      </c>
      <c r="B55" s="656"/>
      <c r="C55" s="657"/>
      <c r="D55" s="712"/>
      <c r="E55" s="21"/>
      <c r="F55" s="45"/>
      <c r="G55" s="24"/>
      <c r="H55" s="24"/>
      <c r="I55" s="24"/>
      <c r="J55" s="57">
        <v>1</v>
      </c>
      <c r="K55" s="57"/>
      <c r="L55" s="733" t="s">
        <v>100</v>
      </c>
      <c r="M55" s="734"/>
      <c r="N55" s="735"/>
      <c r="O55" s="24"/>
      <c r="P55" s="45"/>
      <c r="Q55" s="21"/>
      <c r="R55" s="20"/>
    </row>
    <row r="56" spans="1:18">
      <c r="A56" s="29">
        <v>2</v>
      </c>
      <c r="B56" s="672"/>
      <c r="C56" s="673"/>
      <c r="D56" s="690"/>
      <c r="E56" s="21"/>
      <c r="F56" s="46"/>
      <c r="G56" s="24"/>
      <c r="H56" s="24"/>
      <c r="I56" s="24"/>
      <c r="J56" s="57">
        <v>2</v>
      </c>
      <c r="K56" s="57"/>
      <c r="L56" s="724"/>
      <c r="M56" s="725"/>
      <c r="N56" s="726"/>
      <c r="O56" s="24"/>
      <c r="P56" s="46"/>
      <c r="Q56" s="21"/>
      <c r="R56" s="20"/>
    </row>
    <row r="57" spans="1:18">
      <c r="A57" s="29">
        <v>3</v>
      </c>
      <c r="B57" s="672"/>
      <c r="C57" s="673"/>
      <c r="D57" s="690"/>
      <c r="E57" s="21"/>
      <c r="F57" s="46"/>
      <c r="G57" s="24"/>
      <c r="H57" s="24"/>
      <c r="I57" s="24"/>
      <c r="J57" s="57">
        <v>3</v>
      </c>
      <c r="K57" s="57"/>
      <c r="L57" s="724"/>
      <c r="M57" s="725"/>
      <c r="N57" s="726"/>
      <c r="O57" s="24"/>
      <c r="P57" s="46"/>
      <c r="Q57" s="21"/>
      <c r="R57" s="20"/>
    </row>
    <row r="58" spans="1:18">
      <c r="A58" s="29">
        <v>4</v>
      </c>
      <c r="B58" s="672"/>
      <c r="C58" s="673"/>
      <c r="D58" s="690"/>
      <c r="E58" s="21"/>
      <c r="F58" s="46"/>
      <c r="G58" s="24"/>
      <c r="H58" s="24"/>
      <c r="I58" s="24"/>
      <c r="J58" s="57">
        <v>4</v>
      </c>
      <c r="K58" s="57"/>
      <c r="L58" s="724"/>
      <c r="M58" s="725"/>
      <c r="N58" s="726"/>
      <c r="O58" s="24"/>
      <c r="P58" s="46"/>
      <c r="Q58" s="21"/>
      <c r="R58" s="20"/>
    </row>
    <row r="59" spans="1:18">
      <c r="A59" s="29">
        <v>5</v>
      </c>
      <c r="B59" s="672"/>
      <c r="C59" s="673"/>
      <c r="D59" s="690"/>
      <c r="E59" s="21"/>
      <c r="F59" s="46"/>
      <c r="G59" s="24"/>
      <c r="H59" s="24"/>
      <c r="I59" s="24"/>
      <c r="J59" s="57">
        <v>5</v>
      </c>
      <c r="K59" s="57"/>
      <c r="L59" s="724"/>
      <c r="M59" s="725"/>
      <c r="N59" s="726"/>
      <c r="O59" s="24"/>
      <c r="P59" s="46"/>
      <c r="Q59" s="21"/>
      <c r="R59" s="20"/>
    </row>
    <row r="60" spans="1:18">
      <c r="A60" s="29">
        <v>6</v>
      </c>
      <c r="B60" s="672"/>
      <c r="C60" s="673"/>
      <c r="D60" s="690"/>
      <c r="E60" s="21"/>
      <c r="F60" s="46"/>
      <c r="G60" s="24"/>
      <c r="H60" s="24"/>
      <c r="I60" s="24"/>
      <c r="J60" s="57">
        <v>6</v>
      </c>
      <c r="K60" s="57"/>
      <c r="L60" s="724"/>
      <c r="M60" s="725"/>
      <c r="N60" s="726"/>
      <c r="O60" s="24"/>
      <c r="P60" s="46"/>
      <c r="Q60" s="21"/>
      <c r="R60" s="20"/>
    </row>
    <row r="61" spans="1:18">
      <c r="A61" s="29">
        <v>7</v>
      </c>
      <c r="B61" s="672"/>
      <c r="C61" s="673"/>
      <c r="D61" s="690"/>
      <c r="E61" s="21"/>
      <c r="F61" s="46"/>
      <c r="G61" s="24"/>
      <c r="H61" s="24"/>
      <c r="I61" s="24"/>
      <c r="J61" s="57">
        <v>7</v>
      </c>
      <c r="K61" s="57"/>
      <c r="L61" s="724"/>
      <c r="M61" s="725"/>
      <c r="N61" s="726"/>
      <c r="O61" s="24"/>
      <c r="P61" s="46"/>
      <c r="Q61" s="21"/>
      <c r="R61" s="20"/>
    </row>
    <row r="62" spans="1:18">
      <c r="A62" s="29">
        <v>8</v>
      </c>
      <c r="B62" s="672"/>
      <c r="C62" s="673"/>
      <c r="D62" s="690"/>
      <c r="E62" s="21"/>
      <c r="F62" s="46"/>
      <c r="G62" s="24"/>
      <c r="H62" s="24"/>
      <c r="I62" s="24"/>
      <c r="J62" s="57">
        <v>8</v>
      </c>
      <c r="K62" s="57"/>
      <c r="L62" s="724"/>
      <c r="M62" s="725"/>
      <c r="N62" s="726"/>
      <c r="O62" s="24"/>
      <c r="P62" s="46"/>
      <c r="Q62" s="21"/>
      <c r="R62" s="20"/>
    </row>
    <row r="63" spans="1:18">
      <c r="A63" s="29">
        <v>9</v>
      </c>
      <c r="B63" s="672"/>
      <c r="C63" s="673"/>
      <c r="D63" s="690"/>
      <c r="E63" s="21"/>
      <c r="F63" s="46"/>
      <c r="G63" s="24"/>
      <c r="H63" s="24"/>
      <c r="I63" s="24"/>
      <c r="J63" s="57">
        <v>9</v>
      </c>
      <c r="K63" s="57"/>
      <c r="L63" s="724"/>
      <c r="M63" s="725"/>
      <c r="N63" s="726"/>
      <c r="O63" s="24"/>
      <c r="P63" s="46"/>
      <c r="Q63" s="21"/>
      <c r="R63" s="20"/>
    </row>
    <row r="64" spans="1:18">
      <c r="A64" s="29">
        <v>10</v>
      </c>
      <c r="B64" s="672"/>
      <c r="C64" s="673"/>
      <c r="D64" s="690"/>
      <c r="E64" s="21"/>
      <c r="F64" s="46"/>
      <c r="G64" s="24"/>
      <c r="H64" s="24"/>
      <c r="I64" s="24"/>
      <c r="J64" s="57">
        <v>10</v>
      </c>
      <c r="K64" s="57"/>
      <c r="L64" s="724"/>
      <c r="M64" s="725"/>
      <c r="N64" s="726"/>
      <c r="O64" s="24"/>
      <c r="P64" s="46"/>
      <c r="Q64" s="21"/>
      <c r="R64" s="20"/>
    </row>
    <row r="65" spans="1:18">
      <c r="A65" s="29">
        <v>11</v>
      </c>
      <c r="B65" s="672"/>
      <c r="C65" s="673"/>
      <c r="D65" s="690"/>
      <c r="E65" s="21"/>
      <c r="F65" s="46"/>
      <c r="G65" s="24"/>
      <c r="H65" s="24"/>
      <c r="I65" s="24"/>
      <c r="J65" s="57">
        <v>11</v>
      </c>
      <c r="K65" s="57"/>
      <c r="L65" s="724"/>
      <c r="M65" s="725"/>
      <c r="N65" s="726"/>
      <c r="O65" s="24"/>
      <c r="P65" s="46"/>
      <c r="Q65" s="21"/>
      <c r="R65" s="20"/>
    </row>
    <row r="66" spans="1:18">
      <c r="A66" s="29">
        <v>12</v>
      </c>
      <c r="B66" s="721"/>
      <c r="C66" s="722"/>
      <c r="D66" s="723"/>
      <c r="E66" s="21"/>
      <c r="F66" s="508"/>
      <c r="G66" s="24"/>
      <c r="H66" s="24"/>
      <c r="I66" s="24"/>
      <c r="J66" s="57">
        <v>12</v>
      </c>
      <c r="K66" s="57"/>
      <c r="L66" s="724"/>
      <c r="M66" s="725"/>
      <c r="N66" s="726"/>
      <c r="O66" s="24"/>
      <c r="P66" s="46"/>
      <c r="Q66" s="21"/>
      <c r="R66" s="20"/>
    </row>
    <row r="67" spans="1:18">
      <c r="A67" s="29">
        <v>13</v>
      </c>
      <c r="B67" s="721"/>
      <c r="C67" s="722"/>
      <c r="D67" s="723"/>
      <c r="E67" s="21"/>
      <c r="F67" s="508"/>
      <c r="G67" s="24"/>
      <c r="H67" s="24"/>
      <c r="I67" s="24"/>
      <c r="J67" s="57">
        <v>13</v>
      </c>
      <c r="K67" s="57"/>
      <c r="L67" s="724"/>
      <c r="M67" s="725"/>
      <c r="N67" s="726"/>
      <c r="O67" s="24"/>
      <c r="P67" s="46"/>
      <c r="Q67" s="21"/>
      <c r="R67" s="20"/>
    </row>
    <row r="68" spans="1:18">
      <c r="A68" s="29">
        <v>14</v>
      </c>
      <c r="B68" s="721"/>
      <c r="C68" s="722"/>
      <c r="D68" s="723"/>
      <c r="E68" s="21"/>
      <c r="F68" s="508"/>
      <c r="G68" s="24"/>
      <c r="H68" s="24"/>
      <c r="I68" s="24"/>
      <c r="J68" s="57">
        <v>14</v>
      </c>
      <c r="K68" s="57"/>
      <c r="L68" s="724"/>
      <c r="M68" s="725"/>
      <c r="N68" s="726"/>
      <c r="O68" s="24"/>
      <c r="P68" s="46"/>
      <c r="Q68" s="21"/>
      <c r="R68" s="20"/>
    </row>
    <row r="69" spans="1:18">
      <c r="A69" s="29">
        <v>15</v>
      </c>
      <c r="B69" s="721"/>
      <c r="C69" s="722"/>
      <c r="D69" s="723"/>
      <c r="E69" s="21"/>
      <c r="F69" s="508"/>
      <c r="G69" s="24"/>
      <c r="H69" s="24"/>
      <c r="I69" s="24"/>
      <c r="J69" s="57">
        <v>15</v>
      </c>
      <c r="K69" s="57"/>
      <c r="L69" s="736"/>
      <c r="M69" s="737"/>
      <c r="N69" s="738"/>
      <c r="O69" s="24"/>
      <c r="P69" s="47"/>
      <c r="Q69" s="21"/>
      <c r="R69" s="20"/>
    </row>
    <row r="70" spans="1:18">
      <c r="A70" s="29">
        <v>16</v>
      </c>
      <c r="B70" s="672"/>
      <c r="C70" s="673"/>
      <c r="D70" s="690"/>
      <c r="E70" s="21"/>
      <c r="F70" s="46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0"/>
    </row>
    <row r="71" spans="1:18">
      <c r="A71" s="29">
        <v>17</v>
      </c>
      <c r="B71" s="672"/>
      <c r="C71" s="673"/>
      <c r="D71" s="690"/>
      <c r="E71" s="21"/>
      <c r="F71" s="46"/>
      <c r="G71" s="24"/>
      <c r="H71" s="24"/>
      <c r="I71" s="24"/>
      <c r="J71" s="24"/>
      <c r="K71" s="24"/>
      <c r="L71" s="730" t="s">
        <v>101</v>
      </c>
      <c r="M71" s="731"/>
      <c r="N71" s="732"/>
      <c r="O71" s="24"/>
      <c r="P71" s="116">
        <f>SUM(P55:P69)</f>
        <v>0</v>
      </c>
      <c r="Q71" s="21"/>
      <c r="R71" s="20"/>
    </row>
    <row r="72" spans="1:18">
      <c r="A72" s="29">
        <v>18</v>
      </c>
      <c r="B72" s="672"/>
      <c r="C72" s="673"/>
      <c r="D72" s="690"/>
      <c r="E72" s="21"/>
      <c r="F72" s="46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0"/>
    </row>
    <row r="73" spans="1:18">
      <c r="A73" s="29">
        <v>19</v>
      </c>
      <c r="B73" s="672"/>
      <c r="C73" s="673"/>
      <c r="D73" s="690"/>
      <c r="E73" s="21"/>
      <c r="F73" s="46"/>
      <c r="G73" s="24"/>
      <c r="H73" s="24"/>
      <c r="I73" s="24"/>
      <c r="J73" s="24"/>
      <c r="K73" s="24"/>
      <c r="L73" s="730" t="s">
        <v>102</v>
      </c>
      <c r="M73" s="731"/>
      <c r="N73" s="732"/>
      <c r="O73" s="24"/>
      <c r="P73" s="116">
        <f>+F80+P71</f>
        <v>0</v>
      </c>
      <c r="Q73" s="21"/>
      <c r="R73" s="20"/>
    </row>
    <row r="74" spans="1:18">
      <c r="A74" s="29">
        <v>20</v>
      </c>
      <c r="B74" s="672"/>
      <c r="C74" s="673"/>
      <c r="D74" s="690"/>
      <c r="E74" s="21"/>
      <c r="F74" s="46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1"/>
      <c r="R74" s="20"/>
    </row>
    <row r="75" spans="1:18">
      <c r="A75" s="29">
        <v>21</v>
      </c>
      <c r="B75" s="672"/>
      <c r="C75" s="673"/>
      <c r="D75" s="690"/>
      <c r="E75" s="21"/>
      <c r="F75" s="46"/>
      <c r="G75" s="24"/>
      <c r="H75" s="24"/>
      <c r="I75" s="24"/>
      <c r="J75" s="24"/>
      <c r="K75" s="24"/>
      <c r="L75" s="727" t="s">
        <v>73</v>
      </c>
      <c r="M75" s="728"/>
      <c r="N75" s="729"/>
      <c r="O75" s="26"/>
      <c r="P75" s="421">
        <v>31</v>
      </c>
      <c r="Q75" s="24"/>
      <c r="R75" s="20"/>
    </row>
    <row r="76" spans="1:18">
      <c r="A76" s="29">
        <v>22</v>
      </c>
      <c r="B76" s="672"/>
      <c r="C76" s="673"/>
      <c r="D76" s="690"/>
      <c r="E76" s="21"/>
      <c r="F76" s="46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1"/>
      <c r="R76" s="20"/>
    </row>
    <row r="77" spans="1:18">
      <c r="A77" s="29">
        <v>23</v>
      </c>
      <c r="B77" s="672"/>
      <c r="C77" s="673"/>
      <c r="D77" s="690"/>
      <c r="E77" s="21"/>
      <c r="F77" s="46"/>
      <c r="G77" s="24"/>
      <c r="H77" s="24"/>
      <c r="I77" s="24"/>
      <c r="J77" s="24"/>
      <c r="K77" s="24"/>
      <c r="L77" s="730" t="s">
        <v>136</v>
      </c>
      <c r="M77" s="731"/>
      <c r="N77" s="732"/>
      <c r="O77" s="24"/>
      <c r="P77" s="116">
        <f>+P40-F84</f>
        <v>0</v>
      </c>
      <c r="Q77" s="24"/>
      <c r="R77" s="20"/>
    </row>
    <row r="78" spans="1:18">
      <c r="A78" s="29">
        <v>24</v>
      </c>
      <c r="B78" s="717"/>
      <c r="C78" s="718"/>
      <c r="D78" s="719"/>
      <c r="E78" s="21"/>
      <c r="F78" s="47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1"/>
      <c r="R78" s="20"/>
    </row>
    <row r="79" spans="1:18" ht="4.5" customHeight="1">
      <c r="A79" s="29"/>
      <c r="B79" s="678"/>
      <c r="C79" s="678"/>
      <c r="D79" s="678"/>
      <c r="E79" s="21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1"/>
      <c r="R79" s="20"/>
    </row>
    <row r="80" spans="1:18">
      <c r="A80" s="29"/>
      <c r="B80" s="730" t="s">
        <v>70</v>
      </c>
      <c r="C80" s="731"/>
      <c r="D80" s="732"/>
      <c r="E80" s="26"/>
      <c r="F80" s="116">
        <f>SUM(F55:F78)</f>
        <v>0</v>
      </c>
      <c r="G80" s="24"/>
      <c r="H80" s="24"/>
      <c r="I80" s="24"/>
      <c r="J80" s="24"/>
      <c r="K80" s="24"/>
      <c r="L80" s="24"/>
      <c r="M80" s="24"/>
      <c r="N80" s="233"/>
      <c r="O80" s="24"/>
      <c r="P80" s="24"/>
      <c r="Q80" s="21"/>
      <c r="R80" s="20"/>
    </row>
    <row r="81" spans="1:18" ht="4.5" customHeight="1">
      <c r="A81" s="29"/>
      <c r="B81" s="682"/>
      <c r="C81" s="682"/>
      <c r="D81" s="682"/>
      <c r="E81" s="35"/>
      <c r="F81" s="56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1"/>
      <c r="R81" s="20"/>
    </row>
    <row r="82" spans="1:18">
      <c r="A82" s="29"/>
      <c r="B82" s="727" t="s">
        <v>73</v>
      </c>
      <c r="C82" s="728"/>
      <c r="D82" s="729"/>
      <c r="E82" s="26"/>
      <c r="F82" s="421">
        <v>30</v>
      </c>
      <c r="G82" s="56"/>
      <c r="H82" s="58"/>
      <c r="I82" s="24"/>
      <c r="J82" s="58"/>
      <c r="K82" s="24"/>
      <c r="L82" s="58"/>
      <c r="M82" s="24"/>
      <c r="N82" s="58"/>
      <c r="O82" s="24"/>
      <c r="P82" s="58"/>
      <c r="Q82" s="21"/>
      <c r="R82" s="20"/>
    </row>
    <row r="83" spans="1:18" ht="4.5" customHeight="1">
      <c r="A83" s="29"/>
      <c r="B83" s="682"/>
      <c r="C83" s="682"/>
      <c r="D83" s="682"/>
      <c r="E83" s="35"/>
      <c r="F83" s="56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1"/>
      <c r="R83" s="20"/>
    </row>
    <row r="84" spans="1:18">
      <c r="A84" s="29"/>
      <c r="B84" s="730" t="s">
        <v>74</v>
      </c>
      <c r="C84" s="731"/>
      <c r="D84" s="732"/>
      <c r="E84" s="26"/>
      <c r="F84" s="116">
        <f>ROUND(+F80,-3)</f>
        <v>0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1"/>
      <c r="R84" s="20"/>
    </row>
    <row r="85" spans="1:18">
      <c r="A85" s="29"/>
      <c r="B85" s="678"/>
      <c r="C85" s="678"/>
      <c r="D85" s="678"/>
      <c r="E85" s="21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1"/>
      <c r="R85" s="20"/>
    </row>
    <row r="86" spans="1:18" hidden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</row>
  </sheetData>
  <sheetProtection algorithmName="SHA-512" hashValue="mIQ/2b5MpRZawuGT+xs0/XY/H8tHCSZe136sykPFlsIEja0pQXCNZaUmvmLt1UGgZeI4ALISthasZewB/PJNJA==" saltValue="YZopfM09AwdPnY265VS0Jw==" spinCount="100000" sheet="1" objects="1" scenarios="1" formatCells="0" formatColumns="0" formatRows="0" selectLockedCells="1"/>
  <mergeCells count="93">
    <mergeCell ref="L68:N68"/>
    <mergeCell ref="L69:N69"/>
    <mergeCell ref="B83:D83"/>
    <mergeCell ref="B84:D84"/>
    <mergeCell ref="B85:D85"/>
    <mergeCell ref="L71:N71"/>
    <mergeCell ref="L77:N77"/>
    <mergeCell ref="L75:N75"/>
    <mergeCell ref="L66:N66"/>
    <mergeCell ref="L55:N55"/>
    <mergeCell ref="L56:N56"/>
    <mergeCell ref="L57:N57"/>
    <mergeCell ref="L58:N58"/>
    <mergeCell ref="L59:N59"/>
    <mergeCell ref="L60:N60"/>
    <mergeCell ref="L61:N61"/>
    <mergeCell ref="L62:N62"/>
    <mergeCell ref="L63:N63"/>
    <mergeCell ref="L64:N64"/>
    <mergeCell ref="L65:N65"/>
    <mergeCell ref="L67:N67"/>
    <mergeCell ref="B82:D82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70:D70"/>
    <mergeCell ref="B69:D69"/>
    <mergeCell ref="L73:N73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L51:P51"/>
    <mergeCell ref="L53:N53"/>
    <mergeCell ref="B42:D42"/>
    <mergeCell ref="B43:D43"/>
    <mergeCell ref="B45:D45"/>
    <mergeCell ref="B46:D46"/>
    <mergeCell ref="B53:D53"/>
    <mergeCell ref="B51:F51"/>
    <mergeCell ref="N46:P47"/>
    <mergeCell ref="B19:D19"/>
    <mergeCell ref="B20:D20"/>
    <mergeCell ref="B21:D21"/>
    <mergeCell ref="B22:D22"/>
    <mergeCell ref="B57:D57"/>
    <mergeCell ref="B32:D32"/>
    <mergeCell ref="B55:D55"/>
    <mergeCell ref="B56:D56"/>
    <mergeCell ref="B35:D35"/>
    <mergeCell ref="B36:D36"/>
    <mergeCell ref="B27:D27"/>
    <mergeCell ref="B28:D28"/>
    <mergeCell ref="B29:D29"/>
    <mergeCell ref="B30:D30"/>
    <mergeCell ref="B31:D31"/>
    <mergeCell ref="B39:D39"/>
    <mergeCell ref="B26:D26"/>
    <mergeCell ref="B40:J40"/>
    <mergeCell ref="B33:D33"/>
    <mergeCell ref="B34:D34"/>
    <mergeCell ref="B37:D37"/>
    <mergeCell ref="B38:D38"/>
    <mergeCell ref="B58:D58"/>
    <mergeCell ref="B18:D18"/>
    <mergeCell ref="B5:J5"/>
    <mergeCell ref="B7:D7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23:D23"/>
    <mergeCell ref="B24:D24"/>
    <mergeCell ref="B25:D25"/>
  </mergeCells>
  <phoneticPr fontId="8" type="noConversion"/>
  <pageMargins left="0.39370078740157483" right="0.39370078740157483" top="0.39370078740157483" bottom="0.39370078740157483" header="0" footer="0"/>
  <pageSetup orientation="landscape" verticalDpi="4294967293" r:id="rId1"/>
  <headerFooter scaleWithDoc="0" alignWithMargins="0">
    <oddFooter>&amp;L           &amp;A&amp;CPágina &amp;P de &amp;N</oddFooter>
  </headerFooter>
  <rowBreaks count="1" manualBreakCount="1">
    <brk id="46" max="16383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212"/>
  <sheetViews>
    <sheetView showGridLines="0" zoomScale="120" zoomScaleNormal="120" workbookViewId="0">
      <pane ySplit="8" topLeftCell="A204" activePane="bottomLeft" state="frozen"/>
      <selection pane="bottomLeft" activeCell="F11" sqref="F11"/>
    </sheetView>
  </sheetViews>
  <sheetFormatPr baseColWidth="10" defaultRowHeight="12.75"/>
  <cols>
    <col min="1" max="1" width="3" customWidth="1"/>
    <col min="2" max="2" width="13.7109375" customWidth="1"/>
    <col min="3" max="3" width="1.7109375" customWidth="1"/>
    <col min="4" max="4" width="13.7109375" customWidth="1"/>
    <col min="5" max="5" width="3.7109375" customWidth="1"/>
    <col min="6" max="6" width="11.7109375" customWidth="1"/>
    <col min="7" max="7" width="3.85546875" customWidth="1"/>
    <col min="8" max="8" width="11.7109375" customWidth="1"/>
    <col min="9" max="9" width="3.7109375" customWidth="1"/>
    <col min="10" max="10" width="11.7109375" customWidth="1"/>
    <col min="11" max="11" width="3.85546875" customWidth="1"/>
    <col min="12" max="12" width="11.7109375" customWidth="1"/>
    <col min="13" max="13" width="3.85546875" customWidth="1"/>
    <col min="14" max="14" width="11.7109375" customWidth="1"/>
    <col min="15" max="15" width="3.85546875" customWidth="1"/>
    <col min="16" max="16" width="11.7109375" customWidth="1"/>
    <col min="17" max="17" width="3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B2" s="739" t="str">
        <f>+Datos!D12</f>
        <v xml:space="preserve"> </v>
      </c>
      <c r="C2" s="739"/>
      <c r="D2" s="740" t="str">
        <f>+Datos!D13</f>
        <v xml:space="preserve"> </v>
      </c>
      <c r="E2" s="740"/>
      <c r="F2" s="739" t="str">
        <f>+Datos!D14</f>
        <v xml:space="preserve"> </v>
      </c>
      <c r="G2" s="739"/>
      <c r="H2" s="464" t="str">
        <f>+Datos!D15</f>
        <v xml:space="preserve"> </v>
      </c>
      <c r="I2" s="1"/>
      <c r="J2" s="33"/>
      <c r="K2" s="33"/>
      <c r="L2" s="21"/>
      <c r="M2" s="741" t="s">
        <v>135</v>
      </c>
      <c r="N2" s="741"/>
      <c r="O2" s="741"/>
      <c r="P2" s="741"/>
      <c r="Q2" s="21"/>
    </row>
    <row r="3" spans="1:17">
      <c r="A3" s="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741" t="s">
        <v>16</v>
      </c>
      <c r="N3" s="741"/>
      <c r="O3" s="741"/>
      <c r="P3" s="741"/>
      <c r="Q3" s="21"/>
    </row>
    <row r="4" spans="1:17">
      <c r="A4" s="1"/>
      <c r="B4" s="742" t="str">
        <f>+Datos!D11</f>
        <v xml:space="preserve"> </v>
      </c>
      <c r="C4" s="742"/>
      <c r="D4" s="742"/>
      <c r="E4" s="21"/>
      <c r="F4" s="134" t="str">
        <f>+Datos!J11</f>
        <v xml:space="preserve"> </v>
      </c>
      <c r="G4" s="21"/>
      <c r="H4" s="21"/>
      <c r="I4" s="21"/>
      <c r="J4" s="21"/>
      <c r="K4" s="21"/>
      <c r="L4" s="21"/>
      <c r="M4" s="741">
        <f>+Datos!D10</f>
        <v>2025</v>
      </c>
      <c r="N4" s="741"/>
      <c r="O4" s="741"/>
      <c r="P4" s="741"/>
      <c r="Q4" s="21"/>
    </row>
    <row r="5" spans="1:17" ht="15.75">
      <c r="A5" s="1"/>
      <c r="B5" s="745" t="s">
        <v>173</v>
      </c>
      <c r="C5" s="745"/>
      <c r="D5" s="745"/>
      <c r="E5" s="745"/>
      <c r="F5" s="745"/>
      <c r="G5" s="745"/>
      <c r="H5" s="745"/>
      <c r="I5" s="745"/>
      <c r="J5" s="745"/>
      <c r="K5" s="745"/>
      <c r="L5" s="745"/>
      <c r="M5" s="21"/>
      <c r="N5" s="21"/>
      <c r="O5" s="21"/>
      <c r="P5" s="21"/>
      <c r="Q5" s="21"/>
    </row>
    <row r="6" spans="1:17" ht="7.5" customHeight="1">
      <c r="A6" s="288"/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</row>
    <row r="7" spans="1:17" ht="76.5">
      <c r="A7" s="288"/>
      <c r="B7" s="697" t="s">
        <v>49</v>
      </c>
      <c r="C7" s="698"/>
      <c r="D7" s="699"/>
      <c r="E7" s="512"/>
      <c r="F7" s="173" t="s">
        <v>206</v>
      </c>
      <c r="G7" s="512"/>
      <c r="H7" s="333" t="s">
        <v>1043</v>
      </c>
      <c r="I7" s="512"/>
      <c r="J7" s="173" t="s">
        <v>208</v>
      </c>
      <c r="K7" s="512"/>
      <c r="L7" s="173" t="s">
        <v>209</v>
      </c>
      <c r="M7" s="512"/>
      <c r="N7" s="173" t="s">
        <v>207</v>
      </c>
      <c r="O7" s="512"/>
      <c r="P7" s="173" t="s">
        <v>210</v>
      </c>
      <c r="Q7" s="512"/>
    </row>
    <row r="8" spans="1:17" ht="9.75" customHeight="1">
      <c r="A8" s="288"/>
      <c r="B8" s="513"/>
      <c r="C8" s="513"/>
      <c r="D8" s="513"/>
      <c r="E8" s="513"/>
      <c r="F8" s="513"/>
      <c r="G8" s="513"/>
      <c r="H8" s="513"/>
      <c r="I8" s="513"/>
      <c r="J8" s="513"/>
      <c r="K8" s="513"/>
      <c r="L8" s="513"/>
      <c r="M8" s="513"/>
      <c r="N8" s="513"/>
      <c r="O8" s="513"/>
      <c r="P8" s="513"/>
      <c r="Q8" s="513"/>
    </row>
    <row r="9" spans="1:17" ht="7.5" customHeight="1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24" customHeight="1">
      <c r="A10" s="1"/>
      <c r="B10" s="3"/>
      <c r="C10" s="3"/>
      <c r="D10" s="3"/>
      <c r="E10" s="3"/>
      <c r="F10" s="746" t="s">
        <v>199</v>
      </c>
      <c r="G10" s="747"/>
      <c r="H10" s="747"/>
      <c r="I10" s="747"/>
      <c r="J10" s="747"/>
      <c r="K10" s="747"/>
      <c r="L10" s="747"/>
      <c r="M10" s="747"/>
      <c r="N10" s="747"/>
      <c r="O10" s="747"/>
      <c r="P10" s="748"/>
      <c r="Q10" s="3"/>
    </row>
    <row r="11" spans="1:17" ht="13.5">
      <c r="A11" s="234"/>
      <c r="B11" s="743" t="s">
        <v>1046</v>
      </c>
      <c r="C11" s="743"/>
      <c r="D11" s="743"/>
      <c r="E11" s="340">
        <v>32</v>
      </c>
      <c r="F11" s="239"/>
      <c r="G11" s="340"/>
      <c r="H11" s="240"/>
      <c r="I11" s="240"/>
      <c r="J11" s="241"/>
      <c r="K11" s="241"/>
      <c r="L11" s="241"/>
      <c r="M11" s="240"/>
      <c r="N11" s="241"/>
      <c r="O11" s="240"/>
      <c r="P11" s="241"/>
      <c r="Q11" s="24"/>
    </row>
    <row r="12" spans="1:17" ht="13.5">
      <c r="A12" s="234"/>
      <c r="B12" s="463" t="s">
        <v>1047</v>
      </c>
      <c r="C12" s="463"/>
      <c r="D12" s="463"/>
      <c r="E12" s="340">
        <v>32</v>
      </c>
      <c r="F12" s="239"/>
      <c r="G12" s="240"/>
      <c r="H12" s="240"/>
      <c r="I12" s="240"/>
      <c r="J12" s="241"/>
      <c r="K12" s="241"/>
      <c r="L12" s="241"/>
      <c r="M12" s="240"/>
      <c r="N12" s="241"/>
      <c r="O12" s="240"/>
      <c r="P12" s="241"/>
      <c r="Q12" s="24"/>
    </row>
    <row r="13" spans="1:17" ht="13.5">
      <c r="A13" s="234"/>
      <c r="B13" s="463" t="s">
        <v>1048</v>
      </c>
      <c r="C13" s="463"/>
      <c r="D13" s="463"/>
      <c r="E13" s="340">
        <v>32</v>
      </c>
      <c r="F13" s="239"/>
      <c r="G13" s="240"/>
      <c r="H13" s="240"/>
      <c r="I13" s="241"/>
      <c r="J13" s="241"/>
      <c r="K13" s="241"/>
      <c r="L13" s="241"/>
      <c r="M13" s="241"/>
      <c r="N13" s="241"/>
      <c r="O13" s="241"/>
      <c r="P13" s="241"/>
      <c r="Q13" s="24"/>
    </row>
    <row r="14" spans="1:17" ht="13.5">
      <c r="A14" s="234"/>
      <c r="B14" s="743" t="s">
        <v>163</v>
      </c>
      <c r="C14" s="743"/>
      <c r="D14" s="743"/>
      <c r="E14" s="340">
        <v>32</v>
      </c>
      <c r="F14" s="239"/>
      <c r="G14" s="240"/>
      <c r="H14" s="240"/>
      <c r="I14" s="241"/>
      <c r="J14" s="241"/>
      <c r="K14" s="241"/>
      <c r="L14" s="241"/>
      <c r="M14" s="241"/>
      <c r="N14" s="241"/>
      <c r="O14" s="241"/>
      <c r="P14" s="241"/>
      <c r="Q14" s="24"/>
    </row>
    <row r="15" spans="1:17" ht="13.5">
      <c r="A15" s="234"/>
      <c r="B15" s="463" t="s">
        <v>185</v>
      </c>
      <c r="C15" s="463"/>
      <c r="D15" s="463"/>
      <c r="E15" s="340">
        <v>32</v>
      </c>
      <c r="F15" s="239"/>
      <c r="G15" s="240"/>
      <c r="H15" s="240"/>
      <c r="I15" s="241"/>
      <c r="J15" s="241"/>
      <c r="K15" s="241"/>
      <c r="L15" s="241"/>
      <c r="M15" s="241"/>
      <c r="N15" s="241"/>
      <c r="O15" s="241"/>
      <c r="P15" s="241"/>
      <c r="Q15" s="24"/>
    </row>
    <row r="16" spans="1:17" ht="13.5">
      <c r="A16" s="234"/>
      <c r="B16" s="743" t="s">
        <v>996</v>
      </c>
      <c r="C16" s="743"/>
      <c r="D16" s="743"/>
      <c r="E16" s="340">
        <v>32</v>
      </c>
      <c r="F16" s="239"/>
      <c r="G16" s="240"/>
      <c r="H16" s="240"/>
      <c r="I16" s="241"/>
      <c r="J16" s="241"/>
      <c r="K16" s="241"/>
      <c r="L16" s="241"/>
      <c r="M16" s="241"/>
      <c r="N16" s="241"/>
      <c r="O16" s="241"/>
      <c r="P16" s="241"/>
      <c r="Q16" s="24"/>
    </row>
    <row r="17" spans="1:17" ht="13.5">
      <c r="A17" s="234"/>
      <c r="B17" s="743" t="s">
        <v>164</v>
      </c>
      <c r="C17" s="743"/>
      <c r="D17" s="743"/>
      <c r="E17" s="340">
        <v>32</v>
      </c>
      <c r="F17" s="239"/>
      <c r="G17" s="240"/>
      <c r="H17" s="240"/>
      <c r="I17" s="241"/>
      <c r="J17" s="241"/>
      <c r="K17" s="241"/>
      <c r="L17" s="241"/>
      <c r="M17" s="241"/>
      <c r="N17" s="241"/>
      <c r="O17" s="241"/>
      <c r="P17" s="241"/>
      <c r="Q17" s="24"/>
    </row>
    <row r="18" spans="1:17" ht="13.5">
      <c r="A18" s="234"/>
      <c r="B18" s="743" t="s">
        <v>1049</v>
      </c>
      <c r="C18" s="743"/>
      <c r="D18" s="743"/>
      <c r="E18" s="340">
        <v>32</v>
      </c>
      <c r="F18" s="239"/>
      <c r="G18" s="240"/>
      <c r="H18" s="240"/>
      <c r="I18" s="241"/>
      <c r="J18" s="241"/>
      <c r="K18" s="241"/>
      <c r="L18" s="241"/>
      <c r="M18" s="241"/>
      <c r="N18" s="241"/>
      <c r="O18" s="241"/>
      <c r="P18" s="241"/>
      <c r="Q18" s="24"/>
    </row>
    <row r="19" spans="1:17" ht="13.5">
      <c r="A19" s="234"/>
      <c r="B19" s="463" t="s">
        <v>22</v>
      </c>
      <c r="C19" s="463"/>
      <c r="D19" s="463"/>
      <c r="E19" s="340">
        <v>32</v>
      </c>
      <c r="F19" s="239"/>
      <c r="G19" s="240"/>
      <c r="H19" s="240"/>
      <c r="I19" s="241"/>
      <c r="J19" s="241"/>
      <c r="K19" s="241"/>
      <c r="L19" s="241"/>
      <c r="M19" s="241"/>
      <c r="N19" s="241"/>
      <c r="O19" s="241"/>
      <c r="P19" s="241"/>
      <c r="Q19" s="24"/>
    </row>
    <row r="20" spans="1:17" ht="13.5">
      <c r="A20" s="234"/>
      <c r="B20" s="743" t="s">
        <v>169</v>
      </c>
      <c r="C20" s="743"/>
      <c r="D20" s="743"/>
      <c r="E20" s="340">
        <v>32</v>
      </c>
      <c r="F20" s="239"/>
      <c r="G20" s="240"/>
      <c r="H20" s="240"/>
      <c r="I20" s="241"/>
      <c r="J20" s="241"/>
      <c r="K20" s="241"/>
      <c r="L20" s="241"/>
      <c r="M20" s="241"/>
      <c r="N20" s="241"/>
      <c r="O20" s="241"/>
      <c r="P20" s="241"/>
      <c r="Q20" s="37"/>
    </row>
    <row r="21" spans="1:17" ht="13.5">
      <c r="A21" s="234"/>
      <c r="B21" s="744"/>
      <c r="C21" s="744"/>
      <c r="D21" s="744"/>
      <c r="E21" s="340">
        <v>32</v>
      </c>
      <c r="F21" s="239"/>
      <c r="G21" s="240"/>
      <c r="H21" s="240"/>
      <c r="I21" s="241"/>
      <c r="J21" s="241"/>
      <c r="K21" s="241"/>
      <c r="L21" s="241"/>
      <c r="M21" s="241"/>
      <c r="N21" s="241"/>
      <c r="O21" s="241"/>
      <c r="P21" s="241"/>
      <c r="Q21" s="37"/>
    </row>
    <row r="22" spans="1:17" ht="13.5">
      <c r="A22" s="234"/>
      <c r="B22" s="744"/>
      <c r="C22" s="744"/>
      <c r="D22" s="744"/>
      <c r="E22" s="340">
        <v>32</v>
      </c>
      <c r="F22" s="239"/>
      <c r="G22" s="240"/>
      <c r="H22" s="240"/>
      <c r="I22" s="241"/>
      <c r="J22" s="241"/>
      <c r="K22" s="241"/>
      <c r="L22" s="241"/>
      <c r="M22" s="241"/>
      <c r="N22" s="241"/>
      <c r="O22" s="241"/>
      <c r="P22" s="241"/>
      <c r="Q22" s="37"/>
    </row>
    <row r="23" spans="1:17" ht="13.5">
      <c r="A23" s="234"/>
      <c r="B23" s="743" t="s">
        <v>191</v>
      </c>
      <c r="C23" s="743"/>
      <c r="D23" s="743"/>
      <c r="E23" s="340"/>
      <c r="F23" s="241"/>
      <c r="G23" s="240"/>
      <c r="H23" s="240"/>
      <c r="I23" s="241"/>
      <c r="J23" s="241"/>
      <c r="K23" s="241"/>
      <c r="L23" s="241"/>
      <c r="M23" s="340">
        <v>99</v>
      </c>
      <c r="N23" s="239"/>
      <c r="O23" s="241"/>
      <c r="P23" s="241"/>
      <c r="Q23" s="37"/>
    </row>
    <row r="24" spans="1:17" ht="13.5">
      <c r="A24" s="234"/>
      <c r="B24" s="463" t="s">
        <v>192</v>
      </c>
      <c r="C24" s="463"/>
      <c r="D24" s="463"/>
      <c r="E24" s="340"/>
      <c r="F24" s="241"/>
      <c r="G24" s="240"/>
      <c r="H24" s="240"/>
      <c r="I24" s="241"/>
      <c r="J24" s="241"/>
      <c r="K24" s="241"/>
      <c r="L24" s="241"/>
      <c r="M24" s="340">
        <v>99</v>
      </c>
      <c r="N24" s="239"/>
      <c r="O24" s="241"/>
      <c r="P24" s="241"/>
      <c r="Q24" s="37"/>
    </row>
    <row r="25" spans="1:17" ht="13.5">
      <c r="A25" s="234"/>
      <c r="B25" s="743" t="s">
        <v>193</v>
      </c>
      <c r="C25" s="743"/>
      <c r="D25" s="743"/>
      <c r="E25" s="340"/>
      <c r="F25" s="241"/>
      <c r="G25" s="240"/>
      <c r="H25" s="240"/>
      <c r="I25" s="241"/>
      <c r="J25" s="241"/>
      <c r="K25" s="241"/>
      <c r="L25" s="241"/>
      <c r="M25" s="340">
        <v>99</v>
      </c>
      <c r="N25" s="239"/>
      <c r="O25" s="241"/>
      <c r="P25" s="241"/>
      <c r="Q25" s="37"/>
    </row>
    <row r="26" spans="1:17" ht="13.5">
      <c r="A26" s="234"/>
      <c r="B26" s="463" t="s">
        <v>194</v>
      </c>
      <c r="C26" s="463"/>
      <c r="D26" s="463"/>
      <c r="E26" s="340"/>
      <c r="F26" s="241"/>
      <c r="G26" s="240"/>
      <c r="H26" s="240"/>
      <c r="I26" s="241"/>
      <c r="J26" s="241"/>
      <c r="K26" s="241"/>
      <c r="L26" s="241"/>
      <c r="M26" s="340">
        <v>99</v>
      </c>
      <c r="N26" s="239"/>
      <c r="O26" s="241"/>
      <c r="P26" s="241"/>
      <c r="Q26" s="37"/>
    </row>
    <row r="27" spans="1:17" ht="13.5">
      <c r="A27" s="234"/>
      <c r="B27" s="743" t="s">
        <v>195</v>
      </c>
      <c r="C27" s="743"/>
      <c r="D27" s="743"/>
      <c r="E27" s="340"/>
      <c r="F27" s="241"/>
      <c r="G27" s="240"/>
      <c r="H27" s="240"/>
      <c r="I27" s="241"/>
      <c r="J27" s="241"/>
      <c r="K27" s="241"/>
      <c r="L27" s="241"/>
      <c r="M27" s="340">
        <v>99</v>
      </c>
      <c r="N27" s="239"/>
      <c r="O27" s="241"/>
      <c r="P27" s="241"/>
      <c r="Q27" s="37"/>
    </row>
    <row r="28" spans="1:17" ht="13.5">
      <c r="A28" s="234"/>
      <c r="B28" s="743" t="s">
        <v>196</v>
      </c>
      <c r="C28" s="743"/>
      <c r="D28" s="743"/>
      <c r="E28" s="340"/>
      <c r="F28" s="241"/>
      <c r="G28" s="240"/>
      <c r="H28" s="240"/>
      <c r="I28" s="241"/>
      <c r="J28" s="241"/>
      <c r="K28" s="241"/>
      <c r="L28" s="241"/>
      <c r="M28" s="340">
        <v>99</v>
      </c>
      <c r="N28" s="239"/>
      <c r="O28" s="241"/>
      <c r="P28" s="241"/>
      <c r="Q28" s="37"/>
    </row>
    <row r="29" spans="1:17" ht="13.5">
      <c r="A29" s="234"/>
      <c r="B29" s="744" t="s">
        <v>1110</v>
      </c>
      <c r="C29" s="744"/>
      <c r="D29" s="744"/>
      <c r="E29" s="340">
        <v>32</v>
      </c>
      <c r="F29" s="239"/>
      <c r="G29" s="340">
        <v>43</v>
      </c>
      <c r="H29" s="239"/>
      <c r="I29" s="241"/>
      <c r="J29" s="241"/>
      <c r="K29" s="340">
        <v>74</v>
      </c>
      <c r="L29" s="239"/>
      <c r="M29" s="340">
        <v>99</v>
      </c>
      <c r="N29" s="239"/>
      <c r="O29" s="241"/>
      <c r="P29" s="241"/>
      <c r="Q29" s="37"/>
    </row>
    <row r="30" spans="1:17" ht="13.5">
      <c r="A30" s="234"/>
      <c r="B30" s="463" t="s">
        <v>165</v>
      </c>
      <c r="C30" s="463"/>
      <c r="D30" s="463"/>
      <c r="E30" s="340">
        <v>32</v>
      </c>
      <c r="F30" s="239"/>
      <c r="G30" s="340">
        <v>43</v>
      </c>
      <c r="H30" s="239"/>
      <c r="I30" s="241"/>
      <c r="J30" s="241"/>
      <c r="K30" s="340">
        <v>74</v>
      </c>
      <c r="L30" s="239"/>
      <c r="M30" s="241"/>
      <c r="N30" s="241"/>
      <c r="O30" s="241"/>
      <c r="P30" s="241"/>
      <c r="Q30" s="37"/>
    </row>
    <row r="31" spans="1:17" ht="13.5">
      <c r="A31" s="234"/>
      <c r="B31" s="463" t="s">
        <v>166</v>
      </c>
      <c r="C31" s="463"/>
      <c r="D31" s="463"/>
      <c r="E31" s="340">
        <v>32</v>
      </c>
      <c r="F31" s="239"/>
      <c r="G31" s="340">
        <v>43</v>
      </c>
      <c r="H31" s="239"/>
      <c r="I31" s="241"/>
      <c r="J31" s="241"/>
      <c r="K31" s="340">
        <v>74</v>
      </c>
      <c r="L31" s="239"/>
      <c r="M31" s="241"/>
      <c r="N31" s="241"/>
      <c r="O31" s="241"/>
      <c r="P31" s="241"/>
      <c r="Q31" s="37"/>
    </row>
    <row r="32" spans="1:17" ht="13.5">
      <c r="A32" s="234"/>
      <c r="B32" s="463" t="s">
        <v>167</v>
      </c>
      <c r="C32" s="463"/>
      <c r="D32" s="463"/>
      <c r="E32" s="340">
        <v>32</v>
      </c>
      <c r="F32" s="239"/>
      <c r="G32" s="340">
        <v>43</v>
      </c>
      <c r="H32" s="239"/>
      <c r="I32" s="241"/>
      <c r="J32" s="241"/>
      <c r="K32" s="340">
        <v>74</v>
      </c>
      <c r="L32" s="239"/>
      <c r="M32" s="241"/>
      <c r="N32" s="241"/>
      <c r="O32" s="241"/>
      <c r="P32" s="241"/>
      <c r="Q32" s="37"/>
    </row>
    <row r="33" spans="1:17" ht="13.5">
      <c r="A33" s="234"/>
      <c r="B33" s="743" t="s">
        <v>200</v>
      </c>
      <c r="C33" s="743"/>
      <c r="D33" s="743"/>
      <c r="E33" s="340"/>
      <c r="F33" s="241"/>
      <c r="G33" s="240"/>
      <c r="H33" s="240"/>
      <c r="I33" s="340">
        <v>58</v>
      </c>
      <c r="J33" s="239"/>
      <c r="K33" s="241"/>
      <c r="L33" s="241"/>
      <c r="M33" s="241"/>
      <c r="N33" s="241"/>
      <c r="O33" s="241"/>
      <c r="P33" s="241"/>
      <c r="Q33" s="37"/>
    </row>
    <row r="34" spans="1:17" ht="13.5">
      <c r="A34" s="234"/>
      <c r="B34" s="463" t="s">
        <v>168</v>
      </c>
      <c r="C34" s="463"/>
      <c r="D34" s="463"/>
      <c r="E34" s="340"/>
      <c r="F34" s="241"/>
      <c r="G34" s="240"/>
      <c r="H34" s="240"/>
      <c r="I34" s="340">
        <v>58</v>
      </c>
      <c r="J34" s="239"/>
      <c r="K34" s="241"/>
      <c r="L34" s="241"/>
      <c r="M34" s="241"/>
      <c r="N34" s="241"/>
      <c r="O34" s="241"/>
      <c r="P34" s="241"/>
      <c r="Q34" s="37"/>
    </row>
    <row r="35" spans="1:17" ht="13.5">
      <c r="A35" s="234"/>
      <c r="B35" s="743" t="s">
        <v>197</v>
      </c>
      <c r="C35" s="743"/>
      <c r="D35" s="743"/>
      <c r="E35" s="340"/>
      <c r="F35" s="241"/>
      <c r="G35" s="240"/>
      <c r="H35" s="240"/>
      <c r="I35" s="340">
        <v>58</v>
      </c>
      <c r="J35" s="239"/>
      <c r="K35" s="241"/>
      <c r="L35" s="241"/>
      <c r="M35" s="241"/>
      <c r="N35" s="241"/>
      <c r="O35" s="241"/>
      <c r="P35" s="241"/>
      <c r="Q35" s="37"/>
    </row>
    <row r="36" spans="1:17" ht="13.5">
      <c r="A36" s="234"/>
      <c r="B36" s="744" t="s">
        <v>1050</v>
      </c>
      <c r="C36" s="744"/>
      <c r="D36" s="744"/>
      <c r="E36" s="340"/>
      <c r="F36" s="241"/>
      <c r="G36" s="240"/>
      <c r="H36" s="240"/>
      <c r="I36" s="340">
        <v>58</v>
      </c>
      <c r="J36" s="239"/>
      <c r="K36" s="241"/>
      <c r="L36" s="241"/>
      <c r="M36" s="241"/>
      <c r="N36" s="241"/>
      <c r="O36" s="241"/>
      <c r="P36" s="241"/>
      <c r="Q36" s="37"/>
    </row>
    <row r="37" spans="1:17" ht="13.5">
      <c r="A37" s="234"/>
      <c r="B37" s="744"/>
      <c r="C37" s="744"/>
      <c r="D37" s="744"/>
      <c r="E37" s="340"/>
      <c r="F37" s="241"/>
      <c r="G37" s="240"/>
      <c r="H37" s="240"/>
      <c r="I37" s="340">
        <v>58</v>
      </c>
      <c r="J37" s="239"/>
      <c r="K37" s="241"/>
      <c r="L37" s="241"/>
      <c r="M37" s="241"/>
      <c r="N37" s="241"/>
      <c r="O37" s="241"/>
      <c r="P37" s="241"/>
      <c r="Q37" s="37"/>
    </row>
    <row r="38" spans="1:17" ht="13.5">
      <c r="A38" s="234"/>
      <c r="B38" s="743" t="s">
        <v>201</v>
      </c>
      <c r="C38" s="743"/>
      <c r="D38" s="743"/>
      <c r="E38" s="340"/>
      <c r="F38" s="241"/>
      <c r="G38" s="240"/>
      <c r="H38" s="240"/>
      <c r="I38" s="241"/>
      <c r="J38" s="241"/>
      <c r="K38" s="340">
        <v>74</v>
      </c>
      <c r="L38" s="239"/>
      <c r="M38" s="241"/>
      <c r="N38" s="241"/>
      <c r="O38" s="241"/>
      <c r="P38" s="241"/>
      <c r="Q38" s="56"/>
    </row>
    <row r="39" spans="1:17" ht="13.5">
      <c r="A39" s="234"/>
      <c r="B39" s="743" t="s">
        <v>202</v>
      </c>
      <c r="C39" s="743"/>
      <c r="D39" s="743"/>
      <c r="E39" s="340"/>
      <c r="F39" s="241"/>
      <c r="G39" s="240"/>
      <c r="H39" s="240"/>
      <c r="I39" s="241"/>
      <c r="J39" s="241"/>
      <c r="K39" s="340">
        <v>74</v>
      </c>
      <c r="L39" s="239"/>
      <c r="M39" s="241"/>
      <c r="N39" s="241"/>
      <c r="O39" s="241"/>
      <c r="P39" s="241"/>
      <c r="Q39" s="56"/>
    </row>
    <row r="40" spans="1:17" ht="13.5">
      <c r="A40" s="234"/>
      <c r="B40" s="743" t="s">
        <v>203</v>
      </c>
      <c r="C40" s="743"/>
      <c r="D40" s="743"/>
      <c r="E40" s="340"/>
      <c r="F40" s="241"/>
      <c r="G40" s="240"/>
      <c r="H40" s="240"/>
      <c r="I40" s="241"/>
      <c r="J40" s="241"/>
      <c r="K40" s="340">
        <v>74</v>
      </c>
      <c r="L40" s="239"/>
      <c r="M40" s="241"/>
      <c r="N40" s="241"/>
      <c r="O40" s="241"/>
      <c r="P40" s="241"/>
      <c r="Q40" s="37"/>
    </row>
    <row r="41" spans="1:17" ht="13.5">
      <c r="A41" s="234"/>
      <c r="B41" s="744"/>
      <c r="C41" s="744"/>
      <c r="D41" s="744"/>
      <c r="E41" s="340"/>
      <c r="F41" s="241"/>
      <c r="G41" s="240"/>
      <c r="H41" s="240"/>
      <c r="I41" s="241"/>
      <c r="J41" s="241"/>
      <c r="K41" s="340">
        <v>74</v>
      </c>
      <c r="L41" s="239"/>
      <c r="M41" s="241"/>
      <c r="N41" s="241"/>
      <c r="O41" s="241"/>
      <c r="P41" s="241"/>
      <c r="Q41" s="37"/>
    </row>
    <row r="42" spans="1:17" ht="13.5">
      <c r="A42" s="234"/>
      <c r="B42" s="744"/>
      <c r="C42" s="744"/>
      <c r="D42" s="744"/>
      <c r="E42" s="340"/>
      <c r="F42" s="241"/>
      <c r="G42" s="240"/>
      <c r="H42" s="240"/>
      <c r="I42" s="241"/>
      <c r="J42" s="241"/>
      <c r="K42" s="340">
        <v>74</v>
      </c>
      <c r="L42" s="239"/>
      <c r="M42" s="241"/>
      <c r="N42" s="241"/>
      <c r="O42" s="241"/>
      <c r="P42" s="241"/>
      <c r="Q42" s="37"/>
    </row>
    <row r="43" spans="1:17" ht="13.5">
      <c r="A43" s="234"/>
      <c r="B43" s="744"/>
      <c r="C43" s="744"/>
      <c r="D43" s="744"/>
      <c r="E43" s="340"/>
      <c r="F43" s="241"/>
      <c r="G43" s="240"/>
      <c r="H43" s="240"/>
      <c r="I43" s="241"/>
      <c r="J43" s="241"/>
      <c r="K43" s="340">
        <v>74</v>
      </c>
      <c r="L43" s="239"/>
      <c r="M43" s="241"/>
      <c r="N43" s="241"/>
      <c r="O43" s="241"/>
      <c r="P43" s="241"/>
      <c r="Q43" s="37"/>
    </row>
    <row r="44" spans="1:17" ht="13.5">
      <c r="A44" s="234"/>
      <c r="B44" s="743" t="s">
        <v>885</v>
      </c>
      <c r="C44" s="743"/>
      <c r="D44" s="743"/>
      <c r="E44" s="340"/>
      <c r="F44" s="241"/>
      <c r="G44" s="240"/>
      <c r="H44" s="240"/>
      <c r="I44" s="241"/>
      <c r="J44" s="241"/>
      <c r="K44" s="241"/>
      <c r="L44" s="241"/>
      <c r="M44" s="340"/>
      <c r="N44" s="241"/>
      <c r="O44" s="340">
        <v>104</v>
      </c>
      <c r="P44" s="239"/>
      <c r="Q44" s="37"/>
    </row>
    <row r="45" spans="1:17" ht="13.5">
      <c r="A45" s="234"/>
      <c r="B45" s="743" t="s">
        <v>886</v>
      </c>
      <c r="C45" s="743"/>
      <c r="D45" s="743"/>
      <c r="E45" s="340"/>
      <c r="F45" s="241"/>
      <c r="G45" s="240"/>
      <c r="H45" s="240"/>
      <c r="I45" s="241"/>
      <c r="J45" s="241"/>
      <c r="K45" s="241"/>
      <c r="L45" s="241"/>
      <c r="M45" s="340"/>
      <c r="N45" s="241"/>
      <c r="O45" s="340">
        <v>104</v>
      </c>
      <c r="P45" s="239"/>
      <c r="Q45" s="37"/>
    </row>
    <row r="46" spans="1:17" ht="13.5">
      <c r="A46" s="234"/>
      <c r="B46" s="743" t="s">
        <v>837</v>
      </c>
      <c r="C46" s="743"/>
      <c r="D46" s="743"/>
      <c r="E46" s="340"/>
      <c r="F46" s="241"/>
      <c r="G46" s="240"/>
      <c r="H46" s="240"/>
      <c r="I46" s="240"/>
      <c r="J46" s="240"/>
      <c r="K46" s="240"/>
      <c r="L46" s="240"/>
      <c r="M46" s="340"/>
      <c r="N46" s="240"/>
      <c r="O46" s="340">
        <v>104</v>
      </c>
      <c r="P46" s="239"/>
      <c r="Q46" s="37"/>
    </row>
    <row r="47" spans="1:17" ht="13.5">
      <c r="A47" s="234"/>
      <c r="B47" s="743" t="s">
        <v>204</v>
      </c>
      <c r="C47" s="743"/>
      <c r="D47" s="743"/>
      <c r="E47" s="340"/>
      <c r="F47" s="241"/>
      <c r="G47" s="240"/>
      <c r="H47" s="240"/>
      <c r="I47" s="240"/>
      <c r="J47" s="240"/>
      <c r="K47" s="240"/>
      <c r="L47" s="240"/>
      <c r="M47" s="340"/>
      <c r="N47" s="240"/>
      <c r="O47" s="340">
        <v>104</v>
      </c>
      <c r="P47" s="239"/>
      <c r="Q47" s="37"/>
    </row>
    <row r="48" spans="1:17" ht="13.5">
      <c r="A48" s="234"/>
      <c r="B48" s="744"/>
      <c r="C48" s="744"/>
      <c r="D48" s="744"/>
      <c r="E48" s="340"/>
      <c r="F48" s="241"/>
      <c r="G48" s="240"/>
      <c r="H48" s="240"/>
      <c r="I48" s="240"/>
      <c r="J48" s="240"/>
      <c r="K48" s="240"/>
      <c r="L48" s="240"/>
      <c r="M48" s="340"/>
      <c r="N48" s="240"/>
      <c r="O48" s="340">
        <v>104</v>
      </c>
      <c r="P48" s="239"/>
      <c r="Q48" s="37"/>
    </row>
    <row r="49" spans="1:17" ht="7.5" customHeight="1">
      <c r="A49" s="37"/>
      <c r="B49" s="37"/>
      <c r="C49" s="37"/>
      <c r="D49" s="37"/>
      <c r="E49" s="340"/>
      <c r="F49" s="241"/>
      <c r="G49" s="240"/>
      <c r="H49" s="240"/>
      <c r="I49" s="240"/>
      <c r="J49" s="241"/>
      <c r="K49" s="240"/>
      <c r="L49" s="241"/>
      <c r="M49" s="241"/>
      <c r="N49" s="240"/>
      <c r="O49" s="241"/>
      <c r="P49" s="241"/>
      <c r="Q49" s="145"/>
    </row>
    <row r="50" spans="1:17" ht="13.5">
      <c r="A50" s="37"/>
      <c r="B50" s="706" t="s">
        <v>205</v>
      </c>
      <c r="C50" s="707"/>
      <c r="D50" s="708"/>
      <c r="E50" s="340">
        <v>32</v>
      </c>
      <c r="F50" s="242">
        <f>SUM(F11:F49)</f>
        <v>0</v>
      </c>
      <c r="G50" s="340">
        <v>43</v>
      </c>
      <c r="H50" s="242">
        <f>SUM(H11:H49)</f>
        <v>0</v>
      </c>
      <c r="I50" s="340">
        <v>58</v>
      </c>
      <c r="J50" s="242">
        <f>SUM(J11:J49)</f>
        <v>0</v>
      </c>
      <c r="K50" s="340">
        <v>74</v>
      </c>
      <c r="L50" s="242">
        <f>SUM(L11:L49)</f>
        <v>0</v>
      </c>
      <c r="M50" s="340">
        <v>99</v>
      </c>
      <c r="N50" s="242">
        <f>SUM(N11:N49)</f>
        <v>0</v>
      </c>
      <c r="O50" s="340">
        <v>104</v>
      </c>
      <c r="P50" s="242">
        <f>SUM(P44:P48)</f>
        <v>0</v>
      </c>
      <c r="Q50" s="145"/>
    </row>
    <row r="51" spans="1:17" ht="7.5" customHeight="1">
      <c r="A51" s="37"/>
      <c r="B51" s="37"/>
      <c r="C51" s="37"/>
      <c r="D51" s="37"/>
      <c r="E51" s="340"/>
      <c r="F51" s="241"/>
      <c r="G51" s="340"/>
      <c r="H51" s="240"/>
      <c r="I51" s="240"/>
      <c r="J51" s="241"/>
      <c r="K51" s="240"/>
      <c r="L51" s="241"/>
      <c r="M51" s="241"/>
      <c r="N51" s="240"/>
      <c r="O51" s="241"/>
      <c r="P51" s="241"/>
      <c r="Q51" s="145"/>
    </row>
    <row r="52" spans="1:17" ht="13.5">
      <c r="A52" s="37"/>
      <c r="B52" s="752" t="s">
        <v>205</v>
      </c>
      <c r="C52" s="753"/>
      <c r="D52" s="754"/>
      <c r="E52" s="340">
        <v>32</v>
      </c>
      <c r="F52" s="243">
        <f>ROUND(F50,-3)</f>
        <v>0</v>
      </c>
      <c r="G52" s="340">
        <v>43</v>
      </c>
      <c r="H52" s="243">
        <f>ROUND(H50,-3)</f>
        <v>0</v>
      </c>
      <c r="I52" s="340">
        <v>58</v>
      </c>
      <c r="J52" s="243">
        <f>ROUND(J50,-3)</f>
        <v>0</v>
      </c>
      <c r="K52" s="340">
        <v>74</v>
      </c>
      <c r="L52" s="243">
        <f>ROUND(L50,-3)</f>
        <v>0</v>
      </c>
      <c r="M52" s="340">
        <v>99</v>
      </c>
      <c r="N52" s="243">
        <f>ROUND(N50,-3)</f>
        <v>0</v>
      </c>
      <c r="O52" s="340">
        <v>104</v>
      </c>
      <c r="P52" s="243">
        <f>ROUND(P50,-3)</f>
        <v>0</v>
      </c>
      <c r="Q52" s="37"/>
    </row>
    <row r="53" spans="1:17" ht="7.5" customHeight="1">
      <c r="A53" s="37"/>
      <c r="B53" s="37"/>
      <c r="C53" s="37"/>
      <c r="D53" s="37"/>
      <c r="E53" s="340"/>
      <c r="F53" s="244"/>
      <c r="G53" s="241"/>
      <c r="H53" s="241"/>
      <c r="I53" s="244"/>
      <c r="J53" s="244"/>
      <c r="K53" s="244"/>
      <c r="L53" s="244"/>
      <c r="M53" s="244"/>
      <c r="N53" s="244"/>
      <c r="O53" s="244"/>
      <c r="P53" s="244"/>
      <c r="Q53" s="37"/>
    </row>
    <row r="54" spans="1:17" ht="13.5">
      <c r="A54" s="37"/>
      <c r="B54" s="743" t="s">
        <v>217</v>
      </c>
      <c r="C54" s="743"/>
      <c r="D54" s="743"/>
      <c r="E54" s="340"/>
      <c r="F54" s="33"/>
      <c r="G54" s="33"/>
      <c r="H54" s="33"/>
      <c r="I54" s="33"/>
      <c r="J54" s="33"/>
      <c r="K54" s="340">
        <v>75</v>
      </c>
      <c r="L54" s="247"/>
      <c r="M54" s="33"/>
      <c r="N54" s="33"/>
      <c r="O54" s="33"/>
      <c r="P54" s="33"/>
      <c r="Q54" s="37"/>
    </row>
    <row r="55" spans="1:17" ht="7.5" customHeight="1">
      <c r="A55" s="37"/>
      <c r="B55" s="33"/>
      <c r="C55" s="33"/>
      <c r="D55" s="33"/>
      <c r="E55" s="340"/>
      <c r="F55" s="33"/>
      <c r="G55" s="33"/>
      <c r="H55" s="33"/>
      <c r="I55" s="33"/>
      <c r="J55" s="33"/>
      <c r="K55" s="33"/>
      <c r="L55" s="241"/>
      <c r="M55" s="33"/>
      <c r="N55" s="33"/>
      <c r="O55" s="33"/>
      <c r="P55" s="33"/>
      <c r="Q55" s="37"/>
    </row>
    <row r="56" spans="1:17" ht="13.5">
      <c r="A56" s="37"/>
      <c r="B56" s="33"/>
      <c r="C56" s="33"/>
      <c r="D56" s="33"/>
      <c r="E56" s="340"/>
      <c r="F56" s="33"/>
      <c r="G56" s="33"/>
      <c r="H56" s="33"/>
      <c r="I56" s="33"/>
      <c r="J56" s="33"/>
      <c r="K56" s="340">
        <v>75</v>
      </c>
      <c r="L56" s="243">
        <f>ROUND(L54,-3)</f>
        <v>0</v>
      </c>
      <c r="M56" s="33"/>
      <c r="N56" s="33"/>
      <c r="O56" s="33"/>
      <c r="P56" s="33"/>
      <c r="Q56" s="37"/>
    </row>
    <row r="57" spans="1:17" ht="58.5" customHeight="1">
      <c r="A57" s="37"/>
      <c r="B57" s="37"/>
      <c r="C57" s="37"/>
      <c r="D57" s="37"/>
      <c r="E57" s="340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37"/>
    </row>
    <row r="58" spans="1:17" ht="24" customHeight="1">
      <c r="A58" s="37"/>
      <c r="B58" s="37"/>
      <c r="C58" s="37"/>
      <c r="D58" s="37"/>
      <c r="E58" s="340"/>
      <c r="F58" s="755" t="s">
        <v>211</v>
      </c>
      <c r="G58" s="756"/>
      <c r="H58" s="756"/>
      <c r="I58" s="756"/>
      <c r="J58" s="756"/>
      <c r="K58" s="756"/>
      <c r="L58" s="756"/>
      <c r="M58" s="756"/>
      <c r="N58" s="756"/>
      <c r="O58" s="756"/>
      <c r="P58" s="757"/>
      <c r="Q58" s="37"/>
    </row>
    <row r="59" spans="1:17" ht="7.5" customHeight="1">
      <c r="A59" s="37"/>
      <c r="B59" s="3"/>
      <c r="C59" s="3"/>
      <c r="D59" s="3"/>
      <c r="E59" s="340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3"/>
    </row>
    <row r="60" spans="1:17" ht="13.5">
      <c r="A60" s="234"/>
      <c r="B60" s="743" t="s">
        <v>212</v>
      </c>
      <c r="C60" s="743"/>
      <c r="D60" s="743"/>
      <c r="E60" s="340">
        <v>33</v>
      </c>
      <c r="F60" s="239"/>
      <c r="G60" s="340">
        <v>44</v>
      </c>
      <c r="H60" s="239"/>
      <c r="I60" s="340">
        <v>59</v>
      </c>
      <c r="J60" s="239"/>
      <c r="K60" s="340">
        <v>76</v>
      </c>
      <c r="L60" s="239"/>
      <c r="M60" s="340">
        <v>100</v>
      </c>
      <c r="N60" s="239"/>
      <c r="O60" s="240"/>
      <c r="P60" s="240"/>
      <c r="Q60" s="24"/>
    </row>
    <row r="61" spans="1:17" ht="13.5">
      <c r="A61" s="234"/>
      <c r="B61" s="743" t="s">
        <v>817</v>
      </c>
      <c r="C61" s="743"/>
      <c r="D61" s="743"/>
      <c r="E61" s="340">
        <v>33</v>
      </c>
      <c r="F61" s="239"/>
      <c r="G61" s="340">
        <v>44</v>
      </c>
      <c r="H61" s="239"/>
      <c r="I61" s="340">
        <v>59</v>
      </c>
      <c r="J61" s="239"/>
      <c r="K61" s="340">
        <v>76</v>
      </c>
      <c r="L61" s="239"/>
      <c r="M61" s="340">
        <v>100</v>
      </c>
      <c r="N61" s="239"/>
      <c r="O61" s="240"/>
      <c r="P61" s="240"/>
      <c r="Q61" s="24"/>
    </row>
    <row r="62" spans="1:17" ht="13.5">
      <c r="A62" s="234"/>
      <c r="B62" s="743" t="s">
        <v>213</v>
      </c>
      <c r="C62" s="743"/>
      <c r="D62" s="743"/>
      <c r="E62" s="340">
        <v>33</v>
      </c>
      <c r="F62" s="239"/>
      <c r="G62" s="340">
        <v>44</v>
      </c>
      <c r="H62" s="239"/>
      <c r="I62" s="340">
        <v>59</v>
      </c>
      <c r="J62" s="239"/>
      <c r="K62" s="340">
        <v>76</v>
      </c>
      <c r="L62" s="239"/>
      <c r="M62" s="340">
        <v>100</v>
      </c>
      <c r="N62" s="239"/>
      <c r="O62" s="240"/>
      <c r="P62" s="240"/>
      <c r="Q62" s="24"/>
    </row>
    <row r="63" spans="1:17" ht="13.5">
      <c r="A63" s="234"/>
      <c r="B63" s="743" t="s">
        <v>214</v>
      </c>
      <c r="C63" s="743"/>
      <c r="D63" s="743"/>
      <c r="E63" s="340">
        <v>33</v>
      </c>
      <c r="F63" s="239"/>
      <c r="G63" s="340">
        <v>44</v>
      </c>
      <c r="H63" s="239"/>
      <c r="I63" s="340">
        <v>59</v>
      </c>
      <c r="J63" s="239"/>
      <c r="K63" s="340">
        <v>76</v>
      </c>
      <c r="L63" s="239"/>
      <c r="M63" s="340">
        <v>100</v>
      </c>
      <c r="N63" s="239"/>
      <c r="O63" s="240"/>
      <c r="P63" s="240"/>
      <c r="Q63" s="24"/>
    </row>
    <row r="64" spans="1:17" ht="13.5">
      <c r="A64" s="234"/>
      <c r="B64" s="743" t="s">
        <v>818</v>
      </c>
      <c r="C64" s="743"/>
      <c r="D64" s="743"/>
      <c r="E64" s="340">
        <v>33</v>
      </c>
      <c r="F64" s="239"/>
      <c r="G64" s="340">
        <v>44</v>
      </c>
      <c r="H64" s="239"/>
      <c r="I64" s="340">
        <v>59</v>
      </c>
      <c r="J64" s="239"/>
      <c r="K64" s="340">
        <v>76</v>
      </c>
      <c r="L64" s="239"/>
      <c r="M64" s="340"/>
      <c r="N64" s="240"/>
      <c r="O64" s="240"/>
      <c r="P64" s="240"/>
      <c r="Q64" s="24"/>
    </row>
    <row r="65" spans="1:17" ht="13.5">
      <c r="A65" s="234"/>
      <c r="B65" s="743" t="s">
        <v>819</v>
      </c>
      <c r="C65" s="743"/>
      <c r="D65" s="743"/>
      <c r="E65" s="340">
        <v>33</v>
      </c>
      <c r="F65" s="239"/>
      <c r="G65" s="340">
        <v>44</v>
      </c>
      <c r="H65" s="239"/>
      <c r="I65" s="340">
        <v>59</v>
      </c>
      <c r="J65" s="239"/>
      <c r="K65" s="340">
        <v>76</v>
      </c>
      <c r="L65" s="239"/>
      <c r="M65" s="340"/>
      <c r="N65" s="240"/>
      <c r="O65" s="240"/>
      <c r="P65" s="240"/>
      <c r="Q65" s="24"/>
    </row>
    <row r="66" spans="1:17" ht="13.5">
      <c r="A66" s="234"/>
      <c r="B66" s="743" t="s">
        <v>215</v>
      </c>
      <c r="C66" s="743"/>
      <c r="D66" s="743"/>
      <c r="E66" s="340">
        <v>33</v>
      </c>
      <c r="F66" s="239"/>
      <c r="G66" s="340">
        <v>44</v>
      </c>
      <c r="H66" s="239"/>
      <c r="I66" s="340">
        <v>59</v>
      </c>
      <c r="J66" s="239"/>
      <c r="K66" s="340">
        <v>76</v>
      </c>
      <c r="L66" s="239"/>
      <c r="M66" s="340"/>
      <c r="N66" s="240"/>
      <c r="O66" s="240"/>
      <c r="P66" s="240"/>
      <c r="Q66" s="24"/>
    </row>
    <row r="67" spans="1:17" ht="13.5">
      <c r="A67" s="234"/>
      <c r="B67" s="744"/>
      <c r="C67" s="744"/>
      <c r="D67" s="744"/>
      <c r="E67" s="340">
        <v>33</v>
      </c>
      <c r="F67" s="239"/>
      <c r="G67" s="340">
        <v>44</v>
      </c>
      <c r="H67" s="239"/>
      <c r="I67" s="340">
        <v>59</v>
      </c>
      <c r="J67" s="239"/>
      <c r="K67" s="340">
        <v>76</v>
      </c>
      <c r="L67" s="239"/>
      <c r="M67" s="340">
        <v>100</v>
      </c>
      <c r="N67" s="239"/>
      <c r="O67" s="340">
        <v>105</v>
      </c>
      <c r="P67" s="239"/>
      <c r="Q67" s="24"/>
    </row>
    <row r="68" spans="1:17" ht="13.5">
      <c r="A68" s="234"/>
      <c r="B68" s="744"/>
      <c r="C68" s="744"/>
      <c r="D68" s="744"/>
      <c r="E68" s="340">
        <v>33</v>
      </c>
      <c r="F68" s="239"/>
      <c r="G68" s="340">
        <v>44</v>
      </c>
      <c r="H68" s="239"/>
      <c r="I68" s="340">
        <v>59</v>
      </c>
      <c r="J68" s="239"/>
      <c r="K68" s="340">
        <v>76</v>
      </c>
      <c r="L68" s="239"/>
      <c r="M68" s="340">
        <v>100</v>
      </c>
      <c r="N68" s="239"/>
      <c r="O68" s="340">
        <v>105</v>
      </c>
      <c r="P68" s="239"/>
      <c r="Q68" s="145"/>
    </row>
    <row r="69" spans="1:17" ht="13.5">
      <c r="A69" s="234"/>
      <c r="B69" s="744"/>
      <c r="C69" s="744"/>
      <c r="D69" s="744"/>
      <c r="E69" s="340">
        <v>33</v>
      </c>
      <c r="F69" s="239"/>
      <c r="G69" s="340">
        <v>44</v>
      </c>
      <c r="H69" s="239"/>
      <c r="I69" s="340">
        <v>59</v>
      </c>
      <c r="J69" s="239"/>
      <c r="K69" s="340">
        <v>76</v>
      </c>
      <c r="L69" s="239"/>
      <c r="M69" s="340">
        <v>100</v>
      </c>
      <c r="N69" s="239"/>
      <c r="O69" s="340">
        <v>105</v>
      </c>
      <c r="P69" s="239"/>
      <c r="Q69" s="145"/>
    </row>
    <row r="70" spans="1:17" ht="7.5" customHeight="1">
      <c r="A70" s="37"/>
      <c r="B70" s="37"/>
      <c r="C70" s="37"/>
      <c r="D70" s="37"/>
      <c r="E70" s="340"/>
      <c r="F70" s="241"/>
      <c r="G70" s="340"/>
      <c r="H70" s="241"/>
      <c r="I70" s="240"/>
      <c r="J70" s="241"/>
      <c r="K70" s="240"/>
      <c r="L70" s="241"/>
      <c r="M70" s="240"/>
      <c r="N70" s="240"/>
      <c r="O70" s="340"/>
      <c r="P70" s="241"/>
      <c r="Q70" s="145"/>
    </row>
    <row r="71" spans="1:17" ht="13.5">
      <c r="A71" s="37"/>
      <c r="B71" s="706" t="s">
        <v>216</v>
      </c>
      <c r="C71" s="707"/>
      <c r="D71" s="708"/>
      <c r="E71" s="340">
        <v>33</v>
      </c>
      <c r="F71" s="242">
        <f>SUM(F60:F70)</f>
        <v>0</v>
      </c>
      <c r="G71" s="340">
        <v>44</v>
      </c>
      <c r="H71" s="242">
        <f>SUM(H60:H70)</f>
        <v>0</v>
      </c>
      <c r="I71" s="340">
        <v>59</v>
      </c>
      <c r="J71" s="242">
        <f>SUM(J60:J70)</f>
        <v>0</v>
      </c>
      <c r="K71" s="340">
        <v>76</v>
      </c>
      <c r="L71" s="242">
        <f>SUM(L60:L70)</f>
        <v>0</v>
      </c>
      <c r="M71" s="340">
        <v>100</v>
      </c>
      <c r="N71" s="242">
        <f>SUM(N60:N70)</f>
        <v>0</v>
      </c>
      <c r="O71" s="340">
        <v>105</v>
      </c>
      <c r="P71" s="242">
        <f>SUM(P60:P70)</f>
        <v>0</v>
      </c>
      <c r="Q71" s="145"/>
    </row>
    <row r="72" spans="1:17" ht="7.5" customHeight="1">
      <c r="A72" s="37"/>
      <c r="B72" s="37"/>
      <c r="C72" s="37"/>
      <c r="D72" s="37"/>
      <c r="E72" s="340"/>
      <c r="F72" s="246"/>
      <c r="G72" s="240"/>
      <c r="H72" s="246"/>
      <c r="I72" s="340"/>
      <c r="J72" s="246"/>
      <c r="K72" s="240"/>
      <c r="L72" s="241"/>
      <c r="M72" s="240"/>
      <c r="N72" s="246"/>
      <c r="O72" s="340"/>
      <c r="P72" s="241"/>
      <c r="Q72" s="145"/>
    </row>
    <row r="73" spans="1:17" ht="13.5">
      <c r="A73" s="1"/>
      <c r="B73" s="752" t="s">
        <v>216</v>
      </c>
      <c r="C73" s="753"/>
      <c r="D73" s="754"/>
      <c r="E73" s="340">
        <v>33</v>
      </c>
      <c r="F73" s="243">
        <f>ROUND(F71,-3)</f>
        <v>0</v>
      </c>
      <c r="G73" s="340">
        <v>44</v>
      </c>
      <c r="H73" s="243">
        <f>ROUND(H71,-3)</f>
        <v>0</v>
      </c>
      <c r="I73" s="340">
        <v>59</v>
      </c>
      <c r="J73" s="243">
        <f>ROUND(J71,-3)</f>
        <v>0</v>
      </c>
      <c r="K73" s="340">
        <v>76</v>
      </c>
      <c r="L73" s="243">
        <f>ROUND(L71,-3)</f>
        <v>0</v>
      </c>
      <c r="M73" s="340">
        <v>100</v>
      </c>
      <c r="N73" s="243">
        <f>ROUND(N71,-3)</f>
        <v>0</v>
      </c>
      <c r="O73" s="340">
        <v>105</v>
      </c>
      <c r="P73" s="243">
        <f>ROUND(P71,-3)</f>
        <v>0</v>
      </c>
      <c r="Q73" s="1"/>
    </row>
    <row r="74" spans="1:17" ht="65.25" customHeight="1">
      <c r="A74" s="1"/>
      <c r="B74" s="33"/>
      <c r="C74" s="33"/>
      <c r="D74" s="33"/>
      <c r="E74" s="340"/>
      <c r="F74" s="235"/>
      <c r="G74" s="37"/>
      <c r="H74" s="235"/>
      <c r="I74" s="235"/>
      <c r="J74" s="235"/>
      <c r="K74" s="235"/>
      <c r="L74" s="235"/>
      <c r="M74" s="37"/>
      <c r="N74" s="235"/>
      <c r="O74" s="235"/>
      <c r="P74" s="235"/>
      <c r="Q74" s="33"/>
    </row>
    <row r="75" spans="1:17" ht="24" customHeight="1">
      <c r="A75" s="1"/>
      <c r="B75" s="37"/>
      <c r="C75" s="37"/>
      <c r="D75" s="37"/>
      <c r="E75" s="340"/>
      <c r="F75" s="746" t="s">
        <v>887</v>
      </c>
      <c r="G75" s="747"/>
      <c r="H75" s="747"/>
      <c r="I75" s="747"/>
      <c r="J75" s="747"/>
      <c r="K75" s="747"/>
      <c r="L75" s="747"/>
      <c r="M75" s="543"/>
      <c r="N75" s="33"/>
      <c r="O75" s="33"/>
      <c r="P75" s="33"/>
      <c r="Q75" s="33"/>
    </row>
    <row r="76" spans="1:17" ht="7.5" customHeight="1">
      <c r="A76" s="1"/>
      <c r="B76" s="3"/>
      <c r="C76" s="3"/>
      <c r="D76" s="3"/>
      <c r="E76" s="34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3"/>
    </row>
    <row r="77" spans="1:17" ht="13.5">
      <c r="A77" s="234"/>
      <c r="B77" s="743" t="s">
        <v>218</v>
      </c>
      <c r="C77" s="743"/>
      <c r="D77" s="743"/>
      <c r="E77" s="340"/>
      <c r="F77" s="3"/>
      <c r="G77" s="340">
        <v>45</v>
      </c>
      <c r="H77" s="239"/>
      <c r="I77" s="340"/>
      <c r="J77" s="33"/>
      <c r="K77" s="340">
        <v>77</v>
      </c>
      <c r="L77" s="239"/>
      <c r="M77" s="18"/>
      <c r="N77" s="18"/>
      <c r="O77" s="18"/>
      <c r="P77" s="33"/>
      <c r="Q77" s="33"/>
    </row>
    <row r="78" spans="1:17" ht="13.5">
      <c r="A78" s="234"/>
      <c r="B78" s="743" t="s">
        <v>219</v>
      </c>
      <c r="C78" s="743"/>
      <c r="D78" s="743"/>
      <c r="E78" s="340"/>
      <c r="F78" s="3"/>
      <c r="G78" s="340">
        <v>45</v>
      </c>
      <c r="H78" s="239"/>
      <c r="I78" s="340">
        <v>60</v>
      </c>
      <c r="J78" s="239"/>
      <c r="K78" s="340">
        <v>77</v>
      </c>
      <c r="L78" s="239"/>
      <c r="M78" s="18"/>
      <c r="N78" s="18"/>
      <c r="O78" s="18"/>
      <c r="P78" s="33"/>
      <c r="Q78" s="24"/>
    </row>
    <row r="79" spans="1:17" ht="13.5">
      <c r="A79" s="234"/>
      <c r="B79" s="743" t="s">
        <v>221</v>
      </c>
      <c r="C79" s="743"/>
      <c r="D79" s="743"/>
      <c r="E79" s="340"/>
      <c r="F79" s="3"/>
      <c r="G79" s="340">
        <v>45</v>
      </c>
      <c r="H79" s="239"/>
      <c r="I79" s="340">
        <v>60</v>
      </c>
      <c r="J79" s="239"/>
      <c r="K79" s="340">
        <v>77</v>
      </c>
      <c r="L79" s="239"/>
      <c r="M79" s="18"/>
      <c r="N79" s="18"/>
      <c r="O79" s="18"/>
      <c r="P79" s="33"/>
      <c r="Q79" s="24"/>
    </row>
    <row r="80" spans="1:17" ht="13.5">
      <c r="A80" s="234"/>
      <c r="B80" s="743" t="s">
        <v>220</v>
      </c>
      <c r="C80" s="743"/>
      <c r="D80" s="743"/>
      <c r="E80" s="340"/>
      <c r="F80" s="3"/>
      <c r="G80" s="340">
        <v>45</v>
      </c>
      <c r="H80" s="239"/>
      <c r="I80" s="340">
        <v>60</v>
      </c>
      <c r="J80" s="239"/>
      <c r="K80" s="340">
        <v>77</v>
      </c>
      <c r="L80" s="239"/>
      <c r="M80" s="18"/>
      <c r="N80" s="18"/>
      <c r="O80" s="18"/>
      <c r="P80" s="33"/>
      <c r="Q80" s="24"/>
    </row>
    <row r="81" spans="1:17" ht="13.5">
      <c r="A81" s="234"/>
      <c r="B81" s="743" t="s">
        <v>198</v>
      </c>
      <c r="C81" s="743"/>
      <c r="D81" s="743"/>
      <c r="E81" s="340"/>
      <c r="F81" s="3"/>
      <c r="G81" s="340">
        <v>45</v>
      </c>
      <c r="H81" s="239"/>
      <c r="I81" s="340">
        <v>60</v>
      </c>
      <c r="J81" s="239"/>
      <c r="K81" s="340">
        <v>77</v>
      </c>
      <c r="L81" s="239"/>
      <c r="M81" s="18"/>
      <c r="N81" s="18"/>
      <c r="O81" s="18"/>
      <c r="P81" s="33"/>
      <c r="Q81" s="37"/>
    </row>
    <row r="82" spans="1:17" ht="13.5">
      <c r="A82" s="234"/>
      <c r="B82" s="744"/>
      <c r="C82" s="744"/>
      <c r="D82" s="744"/>
      <c r="E82" s="340"/>
      <c r="F82" s="3"/>
      <c r="G82" s="340">
        <v>45</v>
      </c>
      <c r="H82" s="239"/>
      <c r="I82" s="340">
        <v>60</v>
      </c>
      <c r="J82" s="239"/>
      <c r="K82" s="340">
        <v>77</v>
      </c>
      <c r="L82" s="239"/>
      <c r="M82" s="18"/>
      <c r="N82" s="18"/>
      <c r="O82" s="18"/>
      <c r="P82" s="33"/>
      <c r="Q82" s="37"/>
    </row>
    <row r="83" spans="1:17" ht="13.5">
      <c r="A83" s="234"/>
      <c r="B83" s="744"/>
      <c r="C83" s="744"/>
      <c r="D83" s="744"/>
      <c r="E83" s="340"/>
      <c r="F83" s="3"/>
      <c r="G83" s="340">
        <v>45</v>
      </c>
      <c r="H83" s="239"/>
      <c r="I83" s="340">
        <v>60</v>
      </c>
      <c r="J83" s="239"/>
      <c r="K83" s="340">
        <v>77</v>
      </c>
      <c r="L83" s="239"/>
      <c r="M83" s="18"/>
      <c r="N83" s="18"/>
      <c r="O83" s="18"/>
      <c r="P83" s="33"/>
      <c r="Q83" s="37"/>
    </row>
    <row r="84" spans="1:17" ht="13.5">
      <c r="A84" s="234"/>
      <c r="B84" s="744"/>
      <c r="C84" s="744"/>
      <c r="D84" s="744"/>
      <c r="E84" s="340"/>
      <c r="F84" s="3"/>
      <c r="G84" s="340">
        <v>45</v>
      </c>
      <c r="H84" s="239"/>
      <c r="I84" s="340">
        <v>60</v>
      </c>
      <c r="J84" s="239"/>
      <c r="K84" s="340">
        <v>77</v>
      </c>
      <c r="L84" s="239"/>
      <c r="M84" s="18"/>
      <c r="N84" s="18"/>
      <c r="O84" s="18"/>
      <c r="P84" s="33"/>
      <c r="Q84" s="37"/>
    </row>
    <row r="85" spans="1:17" ht="7.5" customHeight="1">
      <c r="A85" s="234"/>
      <c r="B85" s="37"/>
      <c r="C85" s="37"/>
      <c r="D85" s="37"/>
      <c r="E85" s="340"/>
      <c r="F85" s="3"/>
      <c r="G85" s="340"/>
      <c r="H85" s="241"/>
      <c r="I85" s="340"/>
      <c r="J85" s="241"/>
      <c r="K85" s="240"/>
      <c r="L85" s="241"/>
      <c r="M85" s="37"/>
      <c r="N85" s="37"/>
      <c r="O85" s="37"/>
      <c r="P85" s="33"/>
      <c r="Q85" s="37"/>
    </row>
    <row r="86" spans="1:17" ht="13.5">
      <c r="A86" s="234"/>
      <c r="B86" s="706" t="s">
        <v>888</v>
      </c>
      <c r="C86" s="707"/>
      <c r="D86" s="708"/>
      <c r="E86" s="340"/>
      <c r="F86" s="3"/>
      <c r="G86" s="340">
        <v>45</v>
      </c>
      <c r="H86" s="242">
        <f>SUM(H77:H85)</f>
        <v>0</v>
      </c>
      <c r="I86" s="340">
        <v>60</v>
      </c>
      <c r="J86" s="242">
        <f>SUM(J77:J85)</f>
        <v>0</v>
      </c>
      <c r="K86" s="340">
        <v>77</v>
      </c>
      <c r="L86" s="242">
        <f>SUM(L77:L85)</f>
        <v>0</v>
      </c>
      <c r="M86" s="37"/>
      <c r="N86" s="37"/>
      <c r="O86" s="37"/>
      <c r="P86" s="33"/>
      <c r="Q86" s="37"/>
    </row>
    <row r="87" spans="1:17" ht="7.5" customHeight="1">
      <c r="A87" s="234"/>
      <c r="B87" s="37"/>
      <c r="C87" s="37"/>
      <c r="D87" s="37"/>
      <c r="E87" s="340"/>
      <c r="F87" s="3"/>
      <c r="G87" s="340"/>
      <c r="H87" s="246"/>
      <c r="I87" s="340"/>
      <c r="J87" s="246"/>
      <c r="K87" s="240"/>
      <c r="L87" s="241"/>
      <c r="M87" s="37"/>
      <c r="N87" s="37"/>
      <c r="O87" s="37"/>
      <c r="P87" s="33"/>
      <c r="Q87" s="37"/>
    </row>
    <row r="88" spans="1:17" ht="13.5">
      <c r="A88" s="234"/>
      <c r="B88" s="752" t="s">
        <v>888</v>
      </c>
      <c r="C88" s="753"/>
      <c r="D88" s="754"/>
      <c r="E88" s="340"/>
      <c r="F88" s="3"/>
      <c r="G88" s="340">
        <v>45</v>
      </c>
      <c r="H88" s="243">
        <f>ROUND(H86,-3)</f>
        <v>0</v>
      </c>
      <c r="I88" s="340">
        <v>60</v>
      </c>
      <c r="J88" s="243">
        <f>ROUND(J86,-3)</f>
        <v>0</v>
      </c>
      <c r="K88" s="340">
        <v>77</v>
      </c>
      <c r="L88" s="243">
        <f>ROUND(L86,-3)</f>
        <v>0</v>
      </c>
      <c r="M88" s="1"/>
      <c r="N88" s="1"/>
      <c r="O88" s="1"/>
      <c r="P88" s="33"/>
      <c r="Q88" s="37"/>
    </row>
    <row r="89" spans="1:17" ht="7.5" customHeight="1">
      <c r="A89" s="2"/>
      <c r="B89" s="462"/>
      <c r="C89" s="462"/>
      <c r="D89" s="462"/>
      <c r="E89" s="340"/>
      <c r="F89" s="24"/>
      <c r="G89" s="24"/>
      <c r="H89" s="24"/>
      <c r="I89" s="340"/>
      <c r="J89" s="24"/>
      <c r="K89" s="37"/>
      <c r="L89" s="37"/>
      <c r="M89" s="37"/>
      <c r="N89" s="37"/>
      <c r="O89" s="37"/>
      <c r="P89" s="37"/>
      <c r="Q89" s="24"/>
    </row>
    <row r="90" spans="1:17" ht="13.5">
      <c r="A90" s="2"/>
      <c r="B90" s="730" t="s">
        <v>222</v>
      </c>
      <c r="C90" s="731"/>
      <c r="D90" s="732"/>
      <c r="E90" s="340">
        <v>34</v>
      </c>
      <c r="F90" s="243">
        <f>IF((+F52-F73)&gt;0,+F52-F73,0)</f>
        <v>0</v>
      </c>
      <c r="G90" s="340">
        <v>46</v>
      </c>
      <c r="H90" s="243">
        <f>IF((+H52-H73-H88)&gt;0,+H52-H73-H88,0)</f>
        <v>0</v>
      </c>
      <c r="I90" s="340">
        <v>61</v>
      </c>
      <c r="J90" s="243">
        <f>IF((+J52-J73-J88)&gt;0,+J52-J73-J88,0)</f>
        <v>0</v>
      </c>
      <c r="K90" s="340">
        <v>78</v>
      </c>
      <c r="L90" s="243">
        <f>IF((+L52-L56-L73-L88)&gt;0,L52-L56-L73-L88,0)</f>
        <v>0</v>
      </c>
      <c r="M90" s="340">
        <v>101</v>
      </c>
      <c r="N90" s="243">
        <f>+N52-N73</f>
        <v>0</v>
      </c>
      <c r="O90" s="340">
        <v>106</v>
      </c>
      <c r="P90" s="243">
        <f>+P52-P73</f>
        <v>0</v>
      </c>
      <c r="Q90" s="24"/>
    </row>
    <row r="91" spans="1:17" ht="7.5" customHeight="1">
      <c r="A91" s="37"/>
      <c r="B91" s="37"/>
      <c r="C91" s="37"/>
      <c r="D91" s="37"/>
      <c r="E91" s="340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1:17" ht="13.5">
      <c r="A92" s="37"/>
      <c r="B92" s="758" t="s">
        <v>237</v>
      </c>
      <c r="C92" s="758"/>
      <c r="D92" s="758"/>
      <c r="E92" s="340"/>
      <c r="F92" s="33"/>
      <c r="G92" s="33"/>
      <c r="H92" s="33"/>
      <c r="I92" s="33"/>
      <c r="J92" s="33"/>
      <c r="K92" s="33"/>
      <c r="L92" s="33"/>
      <c r="M92" s="340"/>
      <c r="N92" s="340"/>
      <c r="O92" s="340">
        <v>107</v>
      </c>
      <c r="P92" s="239"/>
      <c r="Q92" s="37"/>
    </row>
    <row r="93" spans="1:17" ht="13.5">
      <c r="A93" s="37"/>
      <c r="B93" s="743" t="s">
        <v>238</v>
      </c>
      <c r="C93" s="743"/>
      <c r="D93" s="743"/>
      <c r="E93" s="340"/>
      <c r="F93" s="33"/>
      <c r="G93" s="33"/>
      <c r="H93" s="33"/>
      <c r="I93" s="33"/>
      <c r="J93" s="33"/>
      <c r="K93" s="33"/>
      <c r="L93" s="33"/>
      <c r="M93" s="340"/>
      <c r="N93" s="340"/>
      <c r="O93" s="340">
        <v>107</v>
      </c>
      <c r="P93" s="239"/>
      <c r="Q93" s="37"/>
    </row>
    <row r="94" spans="1:17" ht="13.5">
      <c r="A94" s="37"/>
      <c r="B94" s="744"/>
      <c r="C94" s="744"/>
      <c r="D94" s="744"/>
      <c r="E94" s="340"/>
      <c r="F94" s="33"/>
      <c r="G94" s="33"/>
      <c r="H94" s="33"/>
      <c r="I94" s="33"/>
      <c r="J94" s="33"/>
      <c r="K94" s="33"/>
      <c r="L94" s="33"/>
      <c r="M94" s="340"/>
      <c r="N94" s="340"/>
      <c r="O94" s="340">
        <v>107</v>
      </c>
      <c r="P94" s="239"/>
      <c r="Q94" s="37"/>
    </row>
    <row r="95" spans="1:17" ht="7.5" customHeight="1">
      <c r="A95" s="37"/>
      <c r="B95" s="37"/>
      <c r="C95" s="37"/>
      <c r="D95" s="37"/>
      <c r="E95" s="340"/>
      <c r="F95" s="33"/>
      <c r="G95" s="33"/>
      <c r="H95" s="33"/>
      <c r="I95" s="33"/>
      <c r="J95" s="33"/>
      <c r="K95" s="33"/>
      <c r="L95" s="33"/>
      <c r="M95" s="340"/>
      <c r="N95" s="340"/>
      <c r="O95" s="340"/>
      <c r="P95" s="241"/>
      <c r="Q95" s="37"/>
    </row>
    <row r="96" spans="1:17" ht="31.5" customHeight="1">
      <c r="A96" s="37"/>
      <c r="B96" s="749" t="s">
        <v>236</v>
      </c>
      <c r="C96" s="750"/>
      <c r="D96" s="751"/>
      <c r="E96" s="340"/>
      <c r="F96" s="33"/>
      <c r="G96" s="33"/>
      <c r="H96" s="33"/>
      <c r="I96" s="33"/>
      <c r="J96" s="33"/>
      <c r="K96" s="33"/>
      <c r="L96" s="33"/>
      <c r="M96" s="340"/>
      <c r="N96" s="340"/>
      <c r="O96" s="340">
        <v>107</v>
      </c>
      <c r="P96" s="242">
        <f>+P92+P93+P94</f>
        <v>0</v>
      </c>
      <c r="Q96" s="37"/>
    </row>
    <row r="97" spans="1:17" ht="7.5" customHeight="1">
      <c r="A97" s="37"/>
      <c r="B97" s="33"/>
      <c r="C97" s="33"/>
      <c r="D97" s="33"/>
      <c r="E97" s="340"/>
      <c r="F97" s="33"/>
      <c r="G97" s="33"/>
      <c r="H97" s="33"/>
      <c r="I97" s="33"/>
      <c r="J97" s="33"/>
      <c r="K97" s="33"/>
      <c r="L97" s="33"/>
      <c r="M97" s="340"/>
      <c r="N97" s="340"/>
      <c r="O97" s="340"/>
      <c r="P97" s="241"/>
      <c r="Q97" s="37"/>
    </row>
    <row r="98" spans="1:17" ht="13.5">
      <c r="A98" s="37"/>
      <c r="B98" s="33"/>
      <c r="C98" s="33"/>
      <c r="D98" s="33"/>
      <c r="E98" s="340"/>
      <c r="F98" s="33"/>
      <c r="G98" s="33"/>
      <c r="H98" s="33"/>
      <c r="I98" s="33"/>
      <c r="J98" s="33"/>
      <c r="K98" s="33"/>
      <c r="L98" s="33"/>
      <c r="M98" s="340"/>
      <c r="N98" s="340"/>
      <c r="O98" s="340">
        <v>107</v>
      </c>
      <c r="P98" s="243">
        <f>ROUND(P96,-3)</f>
        <v>0</v>
      </c>
      <c r="Q98" s="37"/>
    </row>
    <row r="99" spans="1:17" ht="7.5" customHeight="1">
      <c r="A99" s="37"/>
      <c r="B99" s="33"/>
      <c r="C99" s="33"/>
      <c r="D99" s="33"/>
      <c r="E99" s="340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235"/>
      <c r="Q99" s="37"/>
    </row>
    <row r="100" spans="1:17" ht="13.5">
      <c r="A100" s="37"/>
      <c r="B100" s="758" t="s">
        <v>237</v>
      </c>
      <c r="C100" s="758"/>
      <c r="D100" s="758"/>
      <c r="E100" s="340"/>
      <c r="F100" s="33"/>
      <c r="G100" s="33"/>
      <c r="H100" s="33"/>
      <c r="I100" s="33"/>
      <c r="J100" s="33"/>
      <c r="K100" s="33"/>
      <c r="L100" s="33"/>
      <c r="M100" s="340"/>
      <c r="N100" s="340"/>
      <c r="O100" s="340">
        <v>108</v>
      </c>
      <c r="P100" s="239"/>
      <c r="Q100" s="37"/>
    </row>
    <row r="101" spans="1:17" ht="13.5">
      <c r="A101" s="37"/>
      <c r="B101" s="743" t="s">
        <v>238</v>
      </c>
      <c r="C101" s="743"/>
      <c r="D101" s="743"/>
      <c r="E101" s="340"/>
      <c r="F101" s="33"/>
      <c r="G101" s="33"/>
      <c r="H101" s="33"/>
      <c r="I101" s="33"/>
      <c r="J101" s="33"/>
      <c r="K101" s="33"/>
      <c r="L101" s="33"/>
      <c r="M101" s="340"/>
      <c r="N101" s="340"/>
      <c r="O101" s="340">
        <v>108</v>
      </c>
      <c r="P101" s="239"/>
      <c r="Q101" s="37"/>
    </row>
    <row r="102" spans="1:17" ht="13.5">
      <c r="A102" s="37"/>
      <c r="B102" s="744"/>
      <c r="C102" s="744"/>
      <c r="D102" s="744"/>
      <c r="E102" s="340"/>
      <c r="F102" s="33"/>
      <c r="G102" s="33"/>
      <c r="H102" s="33"/>
      <c r="I102" s="33"/>
      <c r="J102" s="33"/>
      <c r="K102" s="33"/>
      <c r="L102" s="33"/>
      <c r="M102" s="340"/>
      <c r="N102" s="340"/>
      <c r="O102" s="340">
        <v>108</v>
      </c>
      <c r="P102" s="239"/>
      <c r="Q102" s="37"/>
    </row>
    <row r="103" spans="1:17" ht="7.5" customHeight="1">
      <c r="A103" s="37"/>
      <c r="B103" s="37"/>
      <c r="C103" s="37"/>
      <c r="D103" s="37"/>
      <c r="E103" s="340"/>
      <c r="F103" s="33"/>
      <c r="G103" s="33"/>
      <c r="H103" s="33"/>
      <c r="I103" s="33"/>
      <c r="J103" s="33"/>
      <c r="K103" s="33"/>
      <c r="L103" s="33"/>
      <c r="M103" s="340"/>
      <c r="N103" s="340"/>
      <c r="O103" s="340"/>
      <c r="P103" s="241"/>
      <c r="Q103" s="37"/>
    </row>
    <row r="104" spans="1:17" ht="29.25" customHeight="1">
      <c r="A104" s="37"/>
      <c r="B104" s="749" t="s">
        <v>239</v>
      </c>
      <c r="C104" s="750"/>
      <c r="D104" s="751"/>
      <c r="E104" s="340"/>
      <c r="F104" s="33"/>
      <c r="G104" s="33"/>
      <c r="H104" s="33"/>
      <c r="I104" s="33"/>
      <c r="J104" s="33"/>
      <c r="K104" s="33"/>
      <c r="L104" s="33"/>
      <c r="M104" s="340"/>
      <c r="N104" s="340"/>
      <c r="O104" s="340">
        <v>108</v>
      </c>
      <c r="P104" s="242">
        <f>+P100+P101+P102</f>
        <v>0</v>
      </c>
      <c r="Q104" s="37"/>
    </row>
    <row r="105" spans="1:17" ht="7.5" customHeight="1">
      <c r="A105" s="37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40"/>
      <c r="N105" s="340"/>
      <c r="O105" s="340"/>
      <c r="P105" s="241"/>
      <c r="Q105" s="37"/>
    </row>
    <row r="106" spans="1:17" ht="13.5">
      <c r="A106" s="37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40"/>
      <c r="N106" s="340"/>
      <c r="O106" s="340">
        <v>108</v>
      </c>
      <c r="P106" s="243">
        <f>ROUND(P104,-3)</f>
        <v>0</v>
      </c>
      <c r="Q106" s="37"/>
    </row>
    <row r="107" spans="1:17" ht="70.5" customHeight="1">
      <c r="A107" s="37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235"/>
      <c r="Q107" s="37"/>
    </row>
    <row r="108" spans="1:17" ht="24" customHeight="1">
      <c r="A108" s="37"/>
      <c r="B108" s="37"/>
      <c r="C108" s="37"/>
      <c r="D108" s="37"/>
      <c r="E108" s="37"/>
      <c r="F108" s="746" t="s">
        <v>226</v>
      </c>
      <c r="G108" s="747"/>
      <c r="H108" s="747"/>
      <c r="I108" s="747"/>
      <c r="J108" s="747"/>
      <c r="K108" s="747"/>
      <c r="L108" s="748"/>
      <c r="M108" s="759" t="s">
        <v>1059</v>
      </c>
      <c r="N108" s="760"/>
      <c r="O108" s="760"/>
      <c r="P108" s="761"/>
      <c r="Q108" s="37"/>
    </row>
    <row r="109" spans="1:17" ht="7.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1:17" ht="13.5">
      <c r="A110" s="37"/>
      <c r="B110" s="744"/>
      <c r="C110" s="744"/>
      <c r="D110" s="744"/>
      <c r="E110" s="37"/>
      <c r="F110" s="33"/>
      <c r="G110" s="33"/>
      <c r="H110" s="33"/>
      <c r="I110" s="340">
        <v>62</v>
      </c>
      <c r="J110" s="239"/>
      <c r="K110" s="340">
        <v>79</v>
      </c>
      <c r="L110" s="239"/>
      <c r="M110" s="340"/>
      <c r="N110" s="340"/>
      <c r="O110" s="340">
        <v>109</v>
      </c>
      <c r="P110" s="239"/>
      <c r="Q110" s="37"/>
    </row>
    <row r="111" spans="1:17" ht="13.5">
      <c r="A111" s="37"/>
      <c r="B111" s="744"/>
      <c r="C111" s="744"/>
      <c r="D111" s="744"/>
      <c r="E111" s="37"/>
      <c r="F111" s="33"/>
      <c r="G111" s="33"/>
      <c r="H111" s="33"/>
      <c r="I111" s="340">
        <v>62</v>
      </c>
      <c r="J111" s="239"/>
      <c r="K111" s="340">
        <v>79</v>
      </c>
      <c r="L111" s="239"/>
      <c r="M111" s="340"/>
      <c r="N111" s="340"/>
      <c r="O111" s="340">
        <v>109</v>
      </c>
      <c r="P111" s="239"/>
      <c r="Q111" s="37"/>
    </row>
    <row r="112" spans="1:17" ht="13.5">
      <c r="A112" s="37"/>
      <c r="B112" s="744"/>
      <c r="C112" s="744"/>
      <c r="D112" s="744"/>
      <c r="E112" s="37"/>
      <c r="F112" s="33"/>
      <c r="G112" s="33"/>
      <c r="H112" s="33"/>
      <c r="I112" s="340">
        <v>62</v>
      </c>
      <c r="J112" s="239"/>
      <c r="K112" s="340">
        <v>79</v>
      </c>
      <c r="L112" s="239"/>
      <c r="M112" s="340"/>
      <c r="N112" s="340"/>
      <c r="O112" s="340">
        <v>109</v>
      </c>
      <c r="P112" s="239"/>
      <c r="Q112" s="37"/>
    </row>
    <row r="113" spans="1:17" ht="7.5" customHeight="1">
      <c r="A113" s="37"/>
      <c r="B113" s="37"/>
      <c r="C113" s="37"/>
      <c r="D113" s="37"/>
      <c r="E113" s="37"/>
      <c r="F113" s="37"/>
      <c r="G113" s="37"/>
      <c r="H113" s="37"/>
      <c r="I113" s="340"/>
      <c r="J113" s="241"/>
      <c r="K113" s="340"/>
      <c r="L113" s="241"/>
      <c r="M113" s="340"/>
      <c r="N113" s="340"/>
      <c r="O113" s="340"/>
      <c r="P113" s="241"/>
      <c r="Q113" s="37"/>
    </row>
    <row r="114" spans="1:17" ht="13.5">
      <c r="A114" s="37"/>
      <c r="B114" s="706" t="s">
        <v>227</v>
      </c>
      <c r="C114" s="707"/>
      <c r="D114" s="708"/>
      <c r="E114" s="21"/>
      <c r="F114" s="37"/>
      <c r="G114" s="37"/>
      <c r="H114" s="37"/>
      <c r="I114" s="340">
        <v>62</v>
      </c>
      <c r="J114" s="242">
        <f>SUM(J110:J112)</f>
        <v>0</v>
      </c>
      <c r="K114" s="340">
        <v>79</v>
      </c>
      <c r="L114" s="242">
        <f>SUM(L110:L112)</f>
        <v>0</v>
      </c>
      <c r="M114" s="340"/>
      <c r="N114" s="340"/>
      <c r="O114" s="340">
        <v>109</v>
      </c>
      <c r="P114" s="242">
        <f>SUM(P110:P112)</f>
        <v>0</v>
      </c>
      <c r="Q114" s="37"/>
    </row>
    <row r="115" spans="1:17" ht="7.5" customHeight="1">
      <c r="A115" s="37"/>
      <c r="B115" s="37"/>
      <c r="C115" s="37"/>
      <c r="D115" s="37"/>
      <c r="E115" s="37"/>
      <c r="F115" s="37"/>
      <c r="G115" s="37"/>
      <c r="H115" s="37"/>
      <c r="I115" s="340"/>
      <c r="J115" s="241"/>
      <c r="K115" s="340"/>
      <c r="L115" s="241"/>
      <c r="M115" s="340"/>
      <c r="N115" s="340"/>
      <c r="O115" s="340"/>
      <c r="P115" s="241"/>
      <c r="Q115" s="37"/>
    </row>
    <row r="116" spans="1:17" ht="13.5">
      <c r="A116" s="37"/>
      <c r="B116" s="752" t="s">
        <v>227</v>
      </c>
      <c r="C116" s="753"/>
      <c r="D116" s="754"/>
      <c r="E116" s="21"/>
      <c r="F116" s="37"/>
      <c r="G116" s="37"/>
      <c r="H116" s="37"/>
      <c r="I116" s="340">
        <v>62</v>
      </c>
      <c r="J116" s="243">
        <f>ROUND(J114,-3)</f>
        <v>0</v>
      </c>
      <c r="K116" s="340">
        <v>79</v>
      </c>
      <c r="L116" s="243">
        <f>ROUND(L114,-3)</f>
        <v>0</v>
      </c>
      <c r="M116" s="340"/>
      <c r="N116" s="340"/>
      <c r="O116" s="340">
        <v>109</v>
      </c>
      <c r="P116" s="243">
        <f>ROUND(P114,-3)</f>
        <v>0</v>
      </c>
      <c r="Q116" s="37"/>
    </row>
    <row r="117" spans="1:17" ht="56.2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1:17" ht="24" customHeight="1">
      <c r="A118" s="37"/>
      <c r="B118" s="37"/>
      <c r="C118" s="37"/>
      <c r="D118" s="37"/>
      <c r="E118" s="37"/>
      <c r="F118" s="746" t="s">
        <v>223</v>
      </c>
      <c r="G118" s="747"/>
      <c r="H118" s="747"/>
      <c r="I118" s="747"/>
      <c r="J118" s="747"/>
      <c r="K118" s="747"/>
      <c r="L118" s="747"/>
      <c r="M118" s="747"/>
      <c r="N118" s="747"/>
      <c r="O118" s="747"/>
      <c r="P118" s="748"/>
      <c r="Q118" s="37"/>
    </row>
    <row r="119" spans="1:17" ht="7.5" customHeight="1">
      <c r="A119" s="3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3"/>
    </row>
    <row r="120" spans="1:17" ht="13.5">
      <c r="A120" s="37"/>
      <c r="B120" s="3" t="s">
        <v>889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3"/>
    </row>
    <row r="121" spans="1:17" ht="13.5">
      <c r="A121" s="1"/>
      <c r="B121" s="762" t="s">
        <v>890</v>
      </c>
      <c r="C121" s="762"/>
      <c r="D121" s="762"/>
      <c r="E121" s="340">
        <v>35</v>
      </c>
      <c r="F121" s="239"/>
      <c r="G121" s="340">
        <v>47</v>
      </c>
      <c r="H121" s="239"/>
      <c r="I121" s="340">
        <v>63</v>
      </c>
      <c r="J121" s="239"/>
      <c r="K121" s="340">
        <v>80</v>
      </c>
      <c r="L121" s="239"/>
      <c r="M121" s="241"/>
      <c r="N121" s="241"/>
      <c r="O121" s="241"/>
      <c r="P121" s="241"/>
      <c r="Q121" s="3"/>
    </row>
    <row r="122" spans="1:17" ht="13.5">
      <c r="A122" s="1"/>
      <c r="B122" s="763" t="s">
        <v>892</v>
      </c>
      <c r="C122" s="763"/>
      <c r="D122" s="763"/>
      <c r="E122" s="340">
        <v>36</v>
      </c>
      <c r="F122" s="239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3"/>
    </row>
    <row r="123" spans="1:17" ht="13.5">
      <c r="A123" s="1"/>
      <c r="B123" s="762" t="s">
        <v>893</v>
      </c>
      <c r="C123" s="762"/>
      <c r="D123" s="762"/>
      <c r="E123" s="340">
        <v>36</v>
      </c>
      <c r="F123" s="239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3"/>
    </row>
    <row r="124" spans="1:17" ht="13.5">
      <c r="A124" s="1"/>
      <c r="B124" s="762" t="s">
        <v>894</v>
      </c>
      <c r="C124" s="762"/>
      <c r="D124" s="762"/>
      <c r="E124" s="340">
        <v>36</v>
      </c>
      <c r="F124" s="239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3"/>
    </row>
    <row r="125" spans="1:17" ht="13.5">
      <c r="A125" s="1"/>
      <c r="B125" s="762" t="s">
        <v>224</v>
      </c>
      <c r="C125" s="762"/>
      <c r="D125" s="762"/>
      <c r="E125" s="340">
        <v>36</v>
      </c>
      <c r="F125" s="239">
        <f>+F14+F15</f>
        <v>0</v>
      </c>
      <c r="G125" s="241"/>
      <c r="H125" s="240"/>
      <c r="I125" s="240"/>
      <c r="J125" s="240"/>
      <c r="K125" s="240"/>
      <c r="L125" s="240"/>
      <c r="M125" s="240"/>
      <c r="N125" s="240"/>
      <c r="O125" s="240"/>
      <c r="P125" s="240"/>
      <c r="Q125" s="3"/>
    </row>
    <row r="126" spans="1:17" ht="13.5">
      <c r="A126" s="1"/>
      <c r="B126" s="762" t="s">
        <v>60</v>
      </c>
      <c r="C126" s="762"/>
      <c r="D126" s="762"/>
      <c r="E126" s="340">
        <v>36</v>
      </c>
      <c r="F126" s="239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</row>
    <row r="127" spans="1:17" ht="13.5">
      <c r="A127" s="1"/>
      <c r="B127" s="762" t="s">
        <v>225</v>
      </c>
      <c r="C127" s="762"/>
      <c r="D127" s="762"/>
      <c r="E127" s="340">
        <v>36</v>
      </c>
      <c r="F127" s="347">
        <f>IF(ROUND((+F90-F121-F122-F123-F124-F125-F126-F128-F129-F130-F136-F137-F138-F139-F141-F140-F142-F143)*25%,-3)&gt;37181000,37181000, ROUND((F90-F121-F122-F123-F124-F125-F126-F128-F129-F130-F136-F137-F138-F139-F141-F140-F142-F143)*25%,-3))</f>
        <v>0</v>
      </c>
      <c r="G127" s="241"/>
      <c r="H127" s="551" t="s">
        <v>1175</v>
      </c>
      <c r="I127" s="241"/>
      <c r="J127" s="241"/>
      <c r="K127" s="241"/>
      <c r="L127" s="241"/>
      <c r="M127" s="241"/>
      <c r="N127" s="241"/>
      <c r="O127" s="241"/>
      <c r="P127" s="241"/>
      <c r="Q127" s="241"/>
    </row>
    <row r="128" spans="1:17" ht="13.5">
      <c r="A128" s="1"/>
      <c r="B128" s="762" t="s">
        <v>965</v>
      </c>
      <c r="C128" s="762"/>
      <c r="D128" s="762"/>
      <c r="E128" s="340"/>
      <c r="F128" s="241"/>
      <c r="G128" s="241"/>
      <c r="H128" s="241"/>
      <c r="I128" s="241"/>
      <c r="J128" s="241"/>
      <c r="K128" s="241"/>
      <c r="L128" s="241"/>
      <c r="M128" s="340">
        <v>102</v>
      </c>
      <c r="N128" s="239"/>
      <c r="O128" s="241"/>
      <c r="P128" s="241"/>
      <c r="Q128" s="3"/>
    </row>
    <row r="129" spans="1:17" ht="13.5">
      <c r="A129" s="1"/>
      <c r="B129" s="744"/>
      <c r="C129" s="744"/>
      <c r="D129" s="744"/>
      <c r="E129" s="340">
        <v>36</v>
      </c>
      <c r="F129" s="239"/>
      <c r="G129" s="340">
        <v>48</v>
      </c>
      <c r="H129" s="239"/>
      <c r="I129" s="343">
        <v>64</v>
      </c>
      <c r="J129" s="239"/>
      <c r="K129" s="340">
        <v>81</v>
      </c>
      <c r="L129" s="239"/>
      <c r="M129" s="340">
        <v>102</v>
      </c>
      <c r="N129" s="239"/>
      <c r="O129" s="340">
        <v>110</v>
      </c>
      <c r="P129" s="239"/>
      <c r="Q129" s="3"/>
    </row>
    <row r="130" spans="1:17" ht="13.5">
      <c r="A130" s="1"/>
      <c r="B130" s="744"/>
      <c r="C130" s="744"/>
      <c r="D130" s="744"/>
      <c r="E130" s="340">
        <v>36</v>
      </c>
      <c r="F130" s="239"/>
      <c r="G130" s="340">
        <v>48</v>
      </c>
      <c r="H130" s="239"/>
      <c r="I130" s="343">
        <v>64</v>
      </c>
      <c r="J130" s="239"/>
      <c r="K130" s="340">
        <v>81</v>
      </c>
      <c r="L130" s="239"/>
      <c r="M130" s="340">
        <v>102</v>
      </c>
      <c r="N130" s="239"/>
      <c r="O130" s="340">
        <v>110</v>
      </c>
      <c r="P130" s="239"/>
      <c r="Q130" s="3"/>
    </row>
    <row r="131" spans="1:17" ht="13.5">
      <c r="A131" s="1"/>
      <c r="B131" s="764" t="s">
        <v>891</v>
      </c>
      <c r="C131" s="764"/>
      <c r="D131" s="764"/>
      <c r="E131" s="340">
        <v>37</v>
      </c>
      <c r="F131" s="324">
        <f>SUM(F121:F130)</f>
        <v>0</v>
      </c>
      <c r="G131" s="340">
        <v>49</v>
      </c>
      <c r="H131" s="324">
        <f>SUM(H121:H130)</f>
        <v>0</v>
      </c>
      <c r="I131" s="343">
        <v>65</v>
      </c>
      <c r="J131" s="324">
        <f>SUM(J121:J130)</f>
        <v>0</v>
      </c>
      <c r="K131" s="340">
        <v>82</v>
      </c>
      <c r="L131" s="324">
        <f>SUM(L121:L130)</f>
        <v>0</v>
      </c>
      <c r="M131" s="340">
        <v>102</v>
      </c>
      <c r="N131" s="324">
        <f>SUM(N121:N130)</f>
        <v>0</v>
      </c>
      <c r="O131" s="340">
        <v>110</v>
      </c>
      <c r="P131" s="324">
        <f>SUM(P121:P130)</f>
        <v>0</v>
      </c>
      <c r="Q131" s="3"/>
    </row>
    <row r="132" spans="1:17" ht="7.5" customHeight="1">
      <c r="A132" s="1"/>
      <c r="B132" s="37"/>
      <c r="C132" s="37"/>
      <c r="D132" s="37"/>
      <c r="E132" s="325"/>
      <c r="F132" s="241"/>
      <c r="G132" s="241"/>
      <c r="H132" s="241"/>
      <c r="I132" s="240"/>
      <c r="J132" s="241"/>
      <c r="K132" s="240"/>
      <c r="L132" s="241"/>
      <c r="M132" s="340"/>
      <c r="N132" s="241"/>
      <c r="O132" s="241"/>
      <c r="P132" s="241"/>
      <c r="Q132" s="37"/>
    </row>
    <row r="133" spans="1:17" ht="13.5">
      <c r="A133" s="1"/>
      <c r="B133" s="765" t="s">
        <v>914</v>
      </c>
      <c r="C133" s="766"/>
      <c r="D133" s="767"/>
      <c r="E133" s="340">
        <v>37</v>
      </c>
      <c r="F133" s="248">
        <f>ROUND(F131,-3)</f>
        <v>0</v>
      </c>
      <c r="G133" s="340">
        <v>49</v>
      </c>
      <c r="H133" s="248">
        <f>ROUND(H131,-3)</f>
        <v>0</v>
      </c>
      <c r="I133" s="343">
        <v>65</v>
      </c>
      <c r="J133" s="248">
        <f>ROUND(J131,-3)</f>
        <v>0</v>
      </c>
      <c r="K133" s="340">
        <v>82</v>
      </c>
      <c r="L133" s="248">
        <f>ROUND(L131,-3)</f>
        <v>0</v>
      </c>
      <c r="M133" s="340">
        <v>102</v>
      </c>
      <c r="N133" s="248">
        <f>ROUND(N131,-3)</f>
        <v>0</v>
      </c>
      <c r="O133" s="340">
        <v>110</v>
      </c>
      <c r="P133" s="248">
        <f>ROUND(P131,-3)</f>
        <v>0</v>
      </c>
      <c r="Q133" s="3"/>
    </row>
    <row r="134" spans="1:17" ht="7.5" customHeight="1">
      <c r="A134" s="1"/>
      <c r="B134" s="37"/>
      <c r="C134" s="37"/>
      <c r="D134" s="37"/>
      <c r="E134" s="325"/>
      <c r="F134" s="241"/>
      <c r="G134" s="241"/>
      <c r="H134" s="241"/>
      <c r="I134" s="240"/>
      <c r="J134" s="241"/>
      <c r="K134" s="240"/>
      <c r="L134" s="241"/>
      <c r="M134" s="241"/>
      <c r="N134" s="241"/>
      <c r="O134" s="241"/>
      <c r="P134" s="241"/>
      <c r="Q134" s="37"/>
    </row>
    <row r="135" spans="1:17" ht="13.5">
      <c r="A135" s="1"/>
      <c r="B135" s="768" t="s">
        <v>906</v>
      </c>
      <c r="C135" s="768"/>
      <c r="D135" s="768"/>
      <c r="E135" s="1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3"/>
    </row>
    <row r="136" spans="1:17" ht="13.5">
      <c r="A136" s="1"/>
      <c r="B136" s="762" t="s">
        <v>907</v>
      </c>
      <c r="C136" s="762"/>
      <c r="D136" s="762"/>
      <c r="E136" s="340">
        <v>38</v>
      </c>
      <c r="F136" s="239"/>
      <c r="G136" s="340">
        <v>50</v>
      </c>
      <c r="H136" s="239"/>
      <c r="I136" s="343">
        <v>66</v>
      </c>
      <c r="J136" s="239"/>
      <c r="K136" s="340">
        <v>83</v>
      </c>
      <c r="L136" s="239"/>
      <c r="M136" s="241"/>
      <c r="N136" s="241"/>
      <c r="O136" s="241"/>
      <c r="P136" s="241"/>
      <c r="Q136" s="3"/>
    </row>
    <row r="137" spans="1:17" ht="13.5">
      <c r="A137" s="1"/>
      <c r="B137" s="762" t="s">
        <v>908</v>
      </c>
      <c r="C137" s="762"/>
      <c r="D137" s="762"/>
      <c r="E137" s="340">
        <v>39</v>
      </c>
      <c r="F137" s="239"/>
      <c r="G137" s="340">
        <v>51</v>
      </c>
      <c r="H137" s="239"/>
      <c r="I137" s="343">
        <v>67</v>
      </c>
      <c r="J137" s="239"/>
      <c r="K137" s="340">
        <v>84</v>
      </c>
      <c r="L137" s="239"/>
      <c r="M137" s="241"/>
      <c r="N137" s="241"/>
      <c r="O137" s="241"/>
      <c r="P137" s="241"/>
      <c r="Q137" s="3"/>
    </row>
    <row r="138" spans="1:17" ht="13.5">
      <c r="A138" s="234"/>
      <c r="B138" s="762" t="s">
        <v>909</v>
      </c>
      <c r="C138" s="762"/>
      <c r="D138" s="762"/>
      <c r="E138" s="340">
        <v>39</v>
      </c>
      <c r="F138" s="239"/>
      <c r="G138" s="340">
        <v>51</v>
      </c>
      <c r="H138" s="239"/>
      <c r="I138" s="343"/>
      <c r="J138" s="241"/>
      <c r="K138" s="241"/>
      <c r="L138" s="241"/>
      <c r="M138" s="240"/>
      <c r="N138" s="240"/>
      <c r="O138" s="240"/>
      <c r="P138" s="241"/>
      <c r="Q138" s="24"/>
    </row>
    <row r="139" spans="1:17" ht="13.5">
      <c r="A139" s="234"/>
      <c r="B139" s="762" t="s">
        <v>910</v>
      </c>
      <c r="C139" s="762"/>
      <c r="D139" s="762"/>
      <c r="E139" s="340">
        <v>39</v>
      </c>
      <c r="F139" s="239"/>
      <c r="G139" s="340">
        <v>51</v>
      </c>
      <c r="H139" s="239"/>
      <c r="I139" s="343"/>
      <c r="J139" s="241"/>
      <c r="K139" s="241"/>
      <c r="L139" s="241"/>
      <c r="M139" s="240"/>
      <c r="N139" s="240"/>
      <c r="O139" s="240"/>
      <c r="P139" s="241"/>
      <c r="Q139" s="24"/>
    </row>
    <row r="140" spans="1:17" ht="13.5">
      <c r="A140" s="234"/>
      <c r="B140" s="762" t="s">
        <v>911</v>
      </c>
      <c r="C140" s="762"/>
      <c r="D140" s="762"/>
      <c r="E140" s="340">
        <v>39</v>
      </c>
      <c r="F140" s="239"/>
      <c r="G140" s="340">
        <v>51</v>
      </c>
      <c r="H140" s="239"/>
      <c r="I140" s="343">
        <v>67</v>
      </c>
      <c r="J140" s="239"/>
      <c r="K140" s="340">
        <v>84</v>
      </c>
      <c r="L140" s="239"/>
      <c r="M140" s="240"/>
      <c r="N140" s="240"/>
      <c r="O140" s="240"/>
      <c r="P140" s="241"/>
      <c r="Q140" s="24"/>
    </row>
    <row r="141" spans="1:17" ht="13.5">
      <c r="A141" s="234"/>
      <c r="B141" s="762" t="s">
        <v>912</v>
      </c>
      <c r="C141" s="762"/>
      <c r="D141" s="762"/>
      <c r="E141" s="340">
        <v>39</v>
      </c>
      <c r="F141" s="239"/>
      <c r="G141" s="340">
        <v>51</v>
      </c>
      <c r="H141" s="239"/>
      <c r="I141" s="343">
        <v>67</v>
      </c>
      <c r="J141" s="239"/>
      <c r="K141" s="340">
        <v>84</v>
      </c>
      <c r="L141" s="239"/>
      <c r="M141" s="240"/>
      <c r="N141" s="240"/>
      <c r="O141" s="240"/>
      <c r="P141" s="241"/>
      <c r="Q141" s="24"/>
    </row>
    <row r="142" spans="1:17" ht="13.5">
      <c r="A142" s="234"/>
      <c r="B142" s="769"/>
      <c r="C142" s="769"/>
      <c r="D142" s="769"/>
      <c r="E142" s="340">
        <v>39</v>
      </c>
      <c r="F142" s="239"/>
      <c r="G142" s="340">
        <v>51</v>
      </c>
      <c r="H142" s="239"/>
      <c r="I142" s="343">
        <v>67</v>
      </c>
      <c r="J142" s="239"/>
      <c r="K142" s="340">
        <v>84</v>
      </c>
      <c r="L142" s="239"/>
      <c r="M142" s="240"/>
      <c r="N142" s="240"/>
      <c r="O142" s="240"/>
      <c r="P142" s="241"/>
      <c r="Q142" s="24"/>
    </row>
    <row r="143" spans="1:17" ht="13.5">
      <c r="A143" s="234"/>
      <c r="B143" s="769"/>
      <c r="C143" s="769"/>
      <c r="D143" s="769"/>
      <c r="E143" s="340">
        <v>39</v>
      </c>
      <c r="F143" s="326"/>
      <c r="G143" s="340">
        <v>51</v>
      </c>
      <c r="H143" s="239"/>
      <c r="I143" s="343">
        <v>67</v>
      </c>
      <c r="J143" s="239"/>
      <c r="K143" s="340">
        <v>84</v>
      </c>
      <c r="L143" s="239"/>
      <c r="M143" s="240"/>
      <c r="N143" s="240"/>
      <c r="O143" s="240"/>
      <c r="P143" s="241"/>
      <c r="Q143" s="37"/>
    </row>
    <row r="144" spans="1:17" ht="13.5">
      <c r="A144" s="234"/>
      <c r="B144" s="769"/>
      <c r="C144" s="769"/>
      <c r="D144" s="769"/>
      <c r="E144" s="342"/>
      <c r="F144" s="241"/>
      <c r="G144" s="241"/>
      <c r="H144" s="241"/>
      <c r="I144" s="343">
        <v>67</v>
      </c>
      <c r="J144" s="239"/>
      <c r="K144" s="340">
        <v>84</v>
      </c>
      <c r="L144" s="239"/>
      <c r="M144" s="240"/>
      <c r="N144" s="240"/>
      <c r="O144" s="240"/>
      <c r="P144" s="241"/>
      <c r="Q144" s="37"/>
    </row>
    <row r="145" spans="1:17" ht="13.5">
      <c r="A145" s="234"/>
      <c r="B145" s="769"/>
      <c r="C145" s="769"/>
      <c r="D145" s="769"/>
      <c r="E145" s="342"/>
      <c r="F145" s="241"/>
      <c r="G145" s="241"/>
      <c r="H145" s="241"/>
      <c r="I145" s="343">
        <v>67</v>
      </c>
      <c r="J145" s="239"/>
      <c r="K145" s="340">
        <v>84</v>
      </c>
      <c r="L145" s="239"/>
      <c r="M145" s="240"/>
      <c r="N145" s="240"/>
      <c r="O145" s="240"/>
      <c r="P145" s="241"/>
      <c r="Q145" s="37"/>
    </row>
    <row r="146" spans="1:17" ht="13.5">
      <c r="A146" s="234"/>
      <c r="B146" s="769"/>
      <c r="C146" s="769"/>
      <c r="D146" s="769"/>
      <c r="E146" s="342"/>
      <c r="F146" s="241"/>
      <c r="G146" s="241"/>
      <c r="H146" s="241"/>
      <c r="I146" s="343">
        <v>67</v>
      </c>
      <c r="J146" s="239"/>
      <c r="K146" s="340">
        <v>84</v>
      </c>
      <c r="L146" s="239"/>
      <c r="M146" s="240"/>
      <c r="N146" s="240"/>
      <c r="O146" s="240"/>
      <c r="P146" s="241"/>
      <c r="Q146" s="37"/>
    </row>
    <row r="147" spans="1:17" ht="13.5">
      <c r="A147" s="234"/>
      <c r="B147" s="769"/>
      <c r="C147" s="769"/>
      <c r="D147" s="769"/>
      <c r="E147" s="342"/>
      <c r="F147" s="241"/>
      <c r="G147" s="241"/>
      <c r="H147" s="241"/>
      <c r="I147" s="343">
        <v>67</v>
      </c>
      <c r="J147" s="239"/>
      <c r="K147" s="340">
        <v>84</v>
      </c>
      <c r="L147" s="239"/>
      <c r="M147" s="240"/>
      <c r="N147" s="240"/>
      <c r="O147" s="240"/>
      <c r="P147" s="241"/>
      <c r="Q147" s="37"/>
    </row>
    <row r="148" spans="1:17" ht="7.5" customHeight="1">
      <c r="A148" s="234"/>
      <c r="B148" s="37"/>
      <c r="C148" s="37"/>
      <c r="D148" s="37"/>
      <c r="E148" s="341"/>
      <c r="F148" s="241"/>
      <c r="G148" s="241"/>
      <c r="H148" s="241"/>
      <c r="I148" s="343"/>
      <c r="J148" s="241"/>
      <c r="K148" s="340"/>
      <c r="L148" s="241"/>
      <c r="M148" s="241"/>
      <c r="N148" s="241"/>
      <c r="O148" s="241"/>
      <c r="P148" s="241"/>
      <c r="Q148" s="37"/>
    </row>
    <row r="149" spans="1:17" ht="13.5">
      <c r="A149" s="234"/>
      <c r="B149" s="764" t="s">
        <v>913</v>
      </c>
      <c r="C149" s="764"/>
      <c r="D149" s="764"/>
      <c r="E149" s="340">
        <v>40</v>
      </c>
      <c r="F149" s="324">
        <f>SUM(F136:F147)</f>
        <v>0</v>
      </c>
      <c r="G149" s="340">
        <v>52</v>
      </c>
      <c r="H149" s="324">
        <f>SUM(H136:H147)</f>
        <v>0</v>
      </c>
      <c r="I149" s="343">
        <v>68</v>
      </c>
      <c r="J149" s="324">
        <f>SUM(J136:J147)</f>
        <v>0</v>
      </c>
      <c r="K149" s="340">
        <v>85</v>
      </c>
      <c r="L149" s="324">
        <f>SUM(L136:L147)</f>
        <v>0</v>
      </c>
      <c r="M149" s="241"/>
      <c r="N149" s="241"/>
      <c r="O149" s="241"/>
      <c r="P149" s="241"/>
      <c r="Q149" s="37"/>
    </row>
    <row r="150" spans="1:17" ht="7.5" customHeight="1">
      <c r="A150" s="234"/>
      <c r="B150" s="37"/>
      <c r="C150" s="37"/>
      <c r="D150" s="37"/>
      <c r="E150" s="37"/>
      <c r="F150" s="241"/>
      <c r="G150" s="241"/>
      <c r="H150" s="241"/>
      <c r="I150" s="343"/>
      <c r="J150" s="241"/>
      <c r="K150" s="340"/>
      <c r="L150" s="241"/>
      <c r="M150" s="241"/>
      <c r="N150" s="241"/>
      <c r="O150" s="241"/>
      <c r="P150" s="241"/>
      <c r="Q150" s="37"/>
    </row>
    <row r="151" spans="1:17" ht="13.5">
      <c r="A151" s="234"/>
      <c r="B151" s="770" t="s">
        <v>915</v>
      </c>
      <c r="C151" s="771"/>
      <c r="D151" s="772"/>
      <c r="E151" s="340">
        <v>40</v>
      </c>
      <c r="F151" s="248">
        <f>ROUND(F149,-3)</f>
        <v>0</v>
      </c>
      <c r="G151" s="340">
        <v>52</v>
      </c>
      <c r="H151" s="248">
        <f>ROUND(H149,-3)</f>
        <v>0</v>
      </c>
      <c r="I151" s="343">
        <v>68</v>
      </c>
      <c r="J151" s="248">
        <f>ROUND(J149,-3)</f>
        <v>0</v>
      </c>
      <c r="K151" s="340">
        <v>85</v>
      </c>
      <c r="L151" s="248">
        <f>ROUND(L149,-3)</f>
        <v>0</v>
      </c>
      <c r="M151" s="249"/>
      <c r="N151" s="249"/>
      <c r="O151" s="249"/>
      <c r="P151" s="241"/>
      <c r="Q151" s="37"/>
    </row>
    <row r="152" spans="1:17" ht="58.5" customHeight="1">
      <c r="A152" s="234"/>
      <c r="B152" s="234"/>
      <c r="C152" s="234"/>
      <c r="D152" s="234"/>
      <c r="E152" s="234"/>
      <c r="F152" s="244"/>
      <c r="G152" s="250"/>
      <c r="H152" s="250"/>
      <c r="I152" s="250"/>
      <c r="J152" s="244"/>
      <c r="K152" s="250"/>
      <c r="L152" s="244"/>
      <c r="M152" s="250"/>
      <c r="N152" s="250"/>
      <c r="O152" s="250"/>
      <c r="P152" s="241"/>
      <c r="Q152" s="37"/>
    </row>
    <row r="153" spans="1:17">
      <c r="A153" s="234"/>
      <c r="B153" s="773" t="s">
        <v>917</v>
      </c>
      <c r="C153" s="773"/>
      <c r="D153" s="773"/>
      <c r="E153" s="773"/>
      <c r="F153" s="773"/>
      <c r="G153" s="773"/>
      <c r="H153" s="773"/>
      <c r="I153" s="773"/>
      <c r="J153" s="773"/>
      <c r="K153" s="773"/>
      <c r="L153" s="773"/>
      <c r="M153" s="773"/>
      <c r="N153" s="773"/>
      <c r="O153" s="773"/>
      <c r="P153" s="773"/>
      <c r="Q153" s="37"/>
    </row>
    <row r="154" spans="1:17">
      <c r="A154" s="234"/>
      <c r="B154" s="773"/>
      <c r="C154" s="773"/>
      <c r="D154" s="773"/>
      <c r="E154" s="773"/>
      <c r="F154" s="773"/>
      <c r="G154" s="773"/>
      <c r="H154" s="773"/>
      <c r="I154" s="773"/>
      <c r="J154" s="773"/>
      <c r="K154" s="773"/>
      <c r="L154" s="773"/>
      <c r="M154" s="773"/>
      <c r="N154" s="773"/>
      <c r="O154" s="773"/>
      <c r="P154" s="773"/>
      <c r="Q154" s="37"/>
    </row>
    <row r="155" spans="1:17">
      <c r="A155" s="234"/>
      <c r="B155" s="773"/>
      <c r="C155" s="773"/>
      <c r="D155" s="773"/>
      <c r="E155" s="773"/>
      <c r="F155" s="773"/>
      <c r="G155" s="773"/>
      <c r="H155" s="773"/>
      <c r="I155" s="773"/>
      <c r="J155" s="773"/>
      <c r="K155" s="773"/>
      <c r="L155" s="773"/>
      <c r="M155" s="773"/>
      <c r="N155" s="773"/>
      <c r="O155" s="773"/>
      <c r="P155" s="773"/>
      <c r="Q155" s="37"/>
    </row>
    <row r="156" spans="1:17">
      <c r="A156" s="234"/>
      <c r="B156" s="773"/>
      <c r="C156" s="773"/>
      <c r="D156" s="773"/>
      <c r="E156" s="773"/>
      <c r="F156" s="773"/>
      <c r="G156" s="773"/>
      <c r="H156" s="773"/>
      <c r="I156" s="773"/>
      <c r="J156" s="773"/>
      <c r="K156" s="773"/>
      <c r="L156" s="773"/>
      <c r="M156" s="773"/>
      <c r="N156" s="773"/>
      <c r="O156" s="773"/>
      <c r="P156" s="773"/>
      <c r="Q156" s="37"/>
    </row>
    <row r="157" spans="1:17" ht="13.5">
      <c r="A157" s="234"/>
      <c r="B157" s="706" t="s">
        <v>222</v>
      </c>
      <c r="C157" s="707"/>
      <c r="D157" s="708"/>
      <c r="E157" s="340">
        <v>34</v>
      </c>
      <c r="F157" s="243">
        <f>+F90</f>
        <v>0</v>
      </c>
      <c r="G157" s="340">
        <v>46</v>
      </c>
      <c r="H157" s="243">
        <f>+H90</f>
        <v>0</v>
      </c>
      <c r="I157" s="340">
        <v>61</v>
      </c>
      <c r="J157" s="243">
        <f>+J90</f>
        <v>0</v>
      </c>
      <c r="K157" s="340">
        <v>78</v>
      </c>
      <c r="L157" s="243">
        <f>+L90</f>
        <v>0</v>
      </c>
      <c r="M157" s="340"/>
      <c r="N157" s="340" t="s">
        <v>916</v>
      </c>
      <c r="O157" s="340"/>
      <c r="P157" s="243">
        <f>+F157+H157+J157+L157</f>
        <v>0</v>
      </c>
      <c r="Q157" s="37"/>
    </row>
    <row r="158" spans="1:17" ht="7.5" customHeight="1">
      <c r="A158" s="234"/>
      <c r="B158" s="344"/>
      <c r="C158" s="344"/>
      <c r="D158" s="344"/>
      <c r="E158" s="344"/>
      <c r="F158" s="348"/>
      <c r="G158" s="344"/>
      <c r="H158" s="348"/>
      <c r="I158" s="344"/>
      <c r="J158" s="348"/>
      <c r="K158" s="344"/>
      <c r="L158" s="348"/>
      <c r="M158" s="344"/>
      <c r="N158" s="344"/>
      <c r="O158" s="344"/>
      <c r="P158" s="348"/>
      <c r="Q158" s="37"/>
    </row>
    <row r="159" spans="1:17" ht="13.5">
      <c r="A159" s="278"/>
      <c r="B159" s="765" t="s">
        <v>914</v>
      </c>
      <c r="C159" s="766"/>
      <c r="D159" s="767"/>
      <c r="E159" s="340">
        <v>37</v>
      </c>
      <c r="F159" s="248">
        <f>+F133</f>
        <v>0</v>
      </c>
      <c r="G159" s="340">
        <v>49</v>
      </c>
      <c r="H159" s="248">
        <f>+H133</f>
        <v>0</v>
      </c>
      <c r="I159" s="343">
        <v>65</v>
      </c>
      <c r="J159" s="248">
        <f>+J133</f>
        <v>0</v>
      </c>
      <c r="K159" s="340">
        <v>82</v>
      </c>
      <c r="L159" s="248">
        <f>+L133</f>
        <v>0</v>
      </c>
      <c r="M159" s="249"/>
      <c r="N159" s="340" t="s">
        <v>916</v>
      </c>
      <c r="O159" s="249"/>
      <c r="P159" s="243">
        <f>+F159+H159+J159+L159</f>
        <v>0</v>
      </c>
      <c r="Q159" s="37"/>
    </row>
    <row r="160" spans="1:17" ht="18.75" customHeight="1">
      <c r="A160" s="278"/>
      <c r="B160" s="344"/>
      <c r="C160" s="344"/>
      <c r="D160" s="344"/>
      <c r="E160" s="344"/>
      <c r="F160" s="348" t="e">
        <f>+F159/F163</f>
        <v>#DIV/0!</v>
      </c>
      <c r="G160" s="344"/>
      <c r="H160" s="348" t="e">
        <f>+H159/H163</f>
        <v>#DIV/0!</v>
      </c>
      <c r="I160" s="344"/>
      <c r="J160" s="348" t="e">
        <f>+J159/J163</f>
        <v>#DIV/0!</v>
      </c>
      <c r="K160" s="344"/>
      <c r="L160" s="348" t="e">
        <f>+L159/L163</f>
        <v>#DIV/0!</v>
      </c>
      <c r="M160" s="344"/>
      <c r="N160" s="344"/>
      <c r="O160" s="344"/>
      <c r="P160" s="348" t="e">
        <f>+P159/P163</f>
        <v>#DIV/0!</v>
      </c>
      <c r="Q160" s="37"/>
    </row>
    <row r="161" spans="1:17" ht="13.5">
      <c r="A161" s="278"/>
      <c r="B161" s="770" t="s">
        <v>915</v>
      </c>
      <c r="C161" s="771"/>
      <c r="D161" s="772"/>
      <c r="E161" s="340">
        <v>40</v>
      </c>
      <c r="F161" s="248">
        <f>+F151</f>
        <v>0</v>
      </c>
      <c r="G161" s="340">
        <v>52</v>
      </c>
      <c r="H161" s="248">
        <f>+H151</f>
        <v>0</v>
      </c>
      <c r="I161" s="343">
        <v>68</v>
      </c>
      <c r="J161" s="248">
        <f>+J151</f>
        <v>0</v>
      </c>
      <c r="K161" s="340">
        <v>85</v>
      </c>
      <c r="L161" s="248">
        <f>+L151</f>
        <v>0</v>
      </c>
      <c r="M161" s="279"/>
      <c r="N161" s="340" t="s">
        <v>916</v>
      </c>
      <c r="O161" s="249"/>
      <c r="P161" s="243">
        <f>+F161+H161+J161+L161</f>
        <v>0</v>
      </c>
      <c r="Q161" s="37"/>
    </row>
    <row r="162" spans="1:17">
      <c r="A162" s="278"/>
      <c r="B162" s="344"/>
      <c r="C162" s="344"/>
      <c r="D162" s="344"/>
      <c r="E162" s="344"/>
      <c r="F162" s="348" t="e">
        <f>+F161/F163</f>
        <v>#DIV/0!</v>
      </c>
      <c r="G162" s="344"/>
      <c r="H162" s="348" t="e">
        <f>+H161/H163</f>
        <v>#DIV/0!</v>
      </c>
      <c r="I162" s="344"/>
      <c r="J162" s="348" t="e">
        <f>+J161/J163</f>
        <v>#DIV/0!</v>
      </c>
      <c r="K162" s="344"/>
      <c r="L162" s="348" t="e">
        <f>+L161/L163</f>
        <v>#DIV/0!</v>
      </c>
      <c r="M162" s="344"/>
      <c r="N162" s="344"/>
      <c r="O162" s="344"/>
      <c r="P162" s="348" t="e">
        <f>+P161/P163</f>
        <v>#DIV/0!</v>
      </c>
      <c r="Q162" s="37"/>
    </row>
    <row r="163" spans="1:17" ht="30" customHeight="1">
      <c r="A163" s="278"/>
      <c r="B163" s="770" t="s">
        <v>918</v>
      </c>
      <c r="C163" s="771"/>
      <c r="D163" s="772"/>
      <c r="E163" s="340"/>
      <c r="F163" s="248">
        <f>+F159+F161</f>
        <v>0</v>
      </c>
      <c r="G163" s="340"/>
      <c r="H163" s="248">
        <f>+H159+H161</f>
        <v>0</v>
      </c>
      <c r="I163" s="343"/>
      <c r="J163" s="248">
        <f>+J159+J161</f>
        <v>0</v>
      </c>
      <c r="K163" s="340"/>
      <c r="L163" s="248">
        <f>+L159+L161</f>
        <v>0</v>
      </c>
      <c r="M163" s="279"/>
      <c r="N163" s="406" t="s">
        <v>916</v>
      </c>
      <c r="O163" s="249"/>
      <c r="P163" s="243">
        <f>+F163+H163+J163+L163</f>
        <v>0</v>
      </c>
      <c r="Q163" s="37"/>
    </row>
    <row r="164" spans="1:17">
      <c r="A164" s="278"/>
      <c r="B164" s="344"/>
      <c r="C164" s="344"/>
      <c r="D164" s="344"/>
      <c r="E164" s="344"/>
      <c r="F164" s="348">
        <v>1</v>
      </c>
      <c r="G164" s="344"/>
      <c r="H164" s="348">
        <v>1</v>
      </c>
      <c r="I164" s="344"/>
      <c r="J164" s="348">
        <v>1</v>
      </c>
      <c r="K164" s="344"/>
      <c r="L164" s="348">
        <v>1</v>
      </c>
      <c r="M164" s="344"/>
      <c r="N164" s="344"/>
      <c r="O164" s="344"/>
      <c r="P164" s="348">
        <v>1</v>
      </c>
      <c r="Q164" s="37"/>
    </row>
    <row r="165" spans="1:17">
      <c r="A165" s="278"/>
      <c r="B165" s="278"/>
      <c r="C165" s="278"/>
      <c r="D165" s="278"/>
      <c r="E165" s="278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37"/>
    </row>
    <row r="166" spans="1:17" ht="30" customHeight="1">
      <c r="A166" s="278"/>
      <c r="B166" s="774" t="s">
        <v>919</v>
      </c>
      <c r="C166" s="775"/>
      <c r="D166" s="776"/>
      <c r="E166" s="278"/>
      <c r="F166" s="280">
        <f>ROUND(+F157*40%,-3)</f>
        <v>0</v>
      </c>
      <c r="G166" s="279"/>
      <c r="H166" s="280">
        <f>ROUND(+H157*40%,-3)</f>
        <v>0</v>
      </c>
      <c r="I166" s="279"/>
      <c r="J166" s="280">
        <f>ROUND(+J157*40%,-3)</f>
        <v>0</v>
      </c>
      <c r="K166" s="279"/>
      <c r="L166" s="280">
        <f>ROUND(+L157*40%,-3)</f>
        <v>0</v>
      </c>
      <c r="M166" s="279"/>
      <c r="N166" s="279"/>
      <c r="O166" s="279"/>
      <c r="P166" s="280">
        <f>ROUND(+P157*40%,-3)</f>
        <v>0</v>
      </c>
      <c r="Q166" s="37"/>
    </row>
    <row r="167" spans="1:17" ht="30" customHeight="1">
      <c r="A167" s="278"/>
      <c r="B167" s="774" t="s">
        <v>1051</v>
      </c>
      <c r="C167" s="775"/>
      <c r="D167" s="776"/>
      <c r="E167" s="278"/>
      <c r="F167" s="280">
        <f>ROUND(1340*Datos!$J$10,-3)</f>
        <v>66731000</v>
      </c>
      <c r="G167" s="279"/>
      <c r="H167" s="280">
        <f>ROUND(1340*Datos!$J$10,-3)</f>
        <v>66731000</v>
      </c>
      <c r="I167" s="279"/>
      <c r="J167" s="280">
        <f>ROUND(1340*Datos!$J$10,-3)</f>
        <v>66731000</v>
      </c>
      <c r="K167" s="279"/>
      <c r="L167" s="280">
        <f>ROUND(1340*Datos!$J$10,-3)</f>
        <v>66731000</v>
      </c>
      <c r="M167" s="279"/>
      <c r="N167" s="279"/>
      <c r="O167" s="279"/>
      <c r="P167" s="280">
        <f>ROUND(1340*Datos!$J$10,-3)</f>
        <v>66731000</v>
      </c>
      <c r="Q167" s="37"/>
    </row>
    <row r="168" spans="1:17" ht="30" customHeight="1">
      <c r="A168" s="278"/>
      <c r="B168" s="774" t="s">
        <v>820</v>
      </c>
      <c r="C168" s="775"/>
      <c r="D168" s="776"/>
      <c r="E168" s="278"/>
      <c r="F168" s="329"/>
      <c r="G168" s="279"/>
      <c r="H168" s="329"/>
      <c r="I168" s="279"/>
      <c r="J168" s="329"/>
      <c r="K168" s="279"/>
      <c r="L168" s="329"/>
      <c r="M168" s="279"/>
      <c r="N168" s="279"/>
      <c r="O168" s="279"/>
      <c r="P168" s="329"/>
      <c r="Q168" s="37"/>
    </row>
    <row r="169" spans="1:17" ht="7.5" customHeight="1">
      <c r="A169" s="281"/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4"/>
    </row>
    <row r="170" spans="1:17" ht="60" customHeight="1">
      <c r="A170" s="281"/>
      <c r="B170" s="557"/>
      <c r="C170" s="789" t="s">
        <v>969</v>
      </c>
      <c r="D170" s="790"/>
      <c r="E170" s="790"/>
      <c r="F170" s="790"/>
      <c r="G170" s="790"/>
      <c r="H170" s="790"/>
      <c r="I170" s="790"/>
      <c r="J170" s="790"/>
      <c r="K170" s="790"/>
      <c r="L170" s="790"/>
      <c r="M170" s="790"/>
      <c r="N170" s="790"/>
      <c r="O170" s="790"/>
      <c r="P170" s="791"/>
      <c r="Q170" s="473" t="s">
        <v>848</v>
      </c>
    </row>
    <row r="171" spans="1:17" ht="7.5" customHeight="1">
      <c r="A171" s="2"/>
      <c r="B171" s="350" t="s">
        <v>848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474" t="s">
        <v>849</v>
      </c>
    </row>
    <row r="172" spans="1:17" ht="7.5" customHeight="1">
      <c r="A172" s="2"/>
      <c r="B172" s="350" t="s">
        <v>849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474" t="s">
        <v>850</v>
      </c>
    </row>
    <row r="173" spans="1:17" ht="18" customHeight="1">
      <c r="A173" s="2"/>
      <c r="B173" s="350" t="s">
        <v>850</v>
      </c>
      <c r="C173" s="2"/>
      <c r="D173" s="2"/>
      <c r="E173" s="2"/>
      <c r="F173" s="286" t="s">
        <v>848</v>
      </c>
      <c r="G173" s="2"/>
      <c r="H173" s="475" t="s">
        <v>848</v>
      </c>
      <c r="I173" s="2"/>
      <c r="J173" s="286" t="s">
        <v>848</v>
      </c>
      <c r="K173" s="2"/>
      <c r="L173" s="286" t="s">
        <v>848</v>
      </c>
      <c r="M173" s="2"/>
      <c r="N173" s="2"/>
      <c r="O173" s="2"/>
      <c r="P173" s="2"/>
      <c r="Q173" s="473" t="s">
        <v>851</v>
      </c>
    </row>
    <row r="174" spans="1:17" ht="7.5" customHeight="1">
      <c r="A174" s="2"/>
      <c r="B174" s="350" t="s">
        <v>851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3.5">
      <c r="A175" s="2"/>
      <c r="B175" s="765" t="s">
        <v>920</v>
      </c>
      <c r="C175" s="766"/>
      <c r="D175" s="767"/>
      <c r="E175" s="340">
        <v>41</v>
      </c>
      <c r="F175" s="349">
        <f>IF(F173="A",F163,IF(F173="B",F166,IF(F173="C",F167,IF(F173="D",F168,0))))</f>
        <v>0</v>
      </c>
      <c r="G175" s="340">
        <v>53</v>
      </c>
      <c r="H175" s="349">
        <f>IF(H173="A",H163,IF(H173="B",H166,IF(H173="C",H167,IF(H173="D",H168,0))))</f>
        <v>0</v>
      </c>
      <c r="I175" s="340">
        <v>69</v>
      </c>
      <c r="J175" s="349">
        <f>IF(J173="A",J163,IF(J173="B",J166,IF(J173="C",J167,IF(J173="D",J168,0))))</f>
        <v>0</v>
      </c>
      <c r="K175" s="340">
        <v>86</v>
      </c>
      <c r="L175" s="349">
        <f>IF(L173="A",L163,IF(L173="B",L166,IF(L173="C",L167,IF(L173="D",L168,0))))</f>
        <v>0</v>
      </c>
      <c r="M175" s="234"/>
      <c r="N175" s="234"/>
      <c r="O175" s="234"/>
      <c r="P175" s="349">
        <f>+F175+H175+J175+L175</f>
        <v>0</v>
      </c>
      <c r="Q175" s="234"/>
    </row>
    <row r="176" spans="1:17" ht="7.5" customHeight="1">
      <c r="A176" s="2"/>
      <c r="B176" s="234"/>
      <c r="C176" s="234"/>
      <c r="D176" s="234"/>
      <c r="E176" s="234"/>
      <c r="F176" s="253"/>
      <c r="G176" s="251"/>
      <c r="H176" s="251"/>
      <c r="I176" s="234"/>
      <c r="J176" s="253"/>
      <c r="K176" s="234"/>
      <c r="L176" s="253"/>
      <c r="M176" s="234"/>
      <c r="N176" s="234"/>
      <c r="O176" s="234"/>
      <c r="P176" s="355" t="e">
        <f>+P175/F185</f>
        <v>#DIV/0!</v>
      </c>
      <c r="Q176" s="234"/>
    </row>
    <row r="177" spans="1:17" ht="13.5" customHeight="1">
      <c r="A177" s="2"/>
      <c r="B177" s="777" t="s">
        <v>921</v>
      </c>
      <c r="C177" s="778"/>
      <c r="D177" s="779"/>
      <c r="E177" s="234"/>
      <c r="F177" s="253"/>
      <c r="G177" s="340">
        <v>54</v>
      </c>
      <c r="H177" s="349">
        <f>IF((+H52-H73-H88-H175)&gt;=0,+H52-H73-H88-H175,0)</f>
        <v>0</v>
      </c>
      <c r="I177" s="340">
        <v>70</v>
      </c>
      <c r="J177" s="349">
        <f>IF((+J52+J116-J73-J88-J175)&gt;=0,+J52+J116-J73-J88-J175,0)</f>
        <v>0</v>
      </c>
      <c r="K177" s="340">
        <v>87</v>
      </c>
      <c r="L177" s="349">
        <f>IF((+L52+L116-L56-L73-L88-L175)&gt;=0,+L52+L116-L56-L73-L88-L175,0)</f>
        <v>0</v>
      </c>
      <c r="M177" s="234"/>
      <c r="N177" s="234"/>
      <c r="O177" s="234"/>
      <c r="P177" s="244"/>
      <c r="Q177" s="234"/>
    </row>
    <row r="178" spans="1:17" ht="7.5" customHeight="1">
      <c r="A178" s="2"/>
      <c r="B178" s="234"/>
      <c r="C178" s="234"/>
      <c r="D178" s="234"/>
      <c r="E178" s="234"/>
      <c r="F178" s="253"/>
      <c r="G178" s="251"/>
      <c r="H178" s="251"/>
      <c r="I178" s="234"/>
      <c r="J178" s="253"/>
      <c r="K178" s="234"/>
      <c r="L178" s="253"/>
      <c r="M178" s="234"/>
      <c r="N178" s="234"/>
      <c r="O178" s="234"/>
      <c r="P178" s="244"/>
      <c r="Q178" s="234"/>
    </row>
    <row r="179" spans="1:17" ht="13.5">
      <c r="A179" s="2"/>
      <c r="B179" s="770" t="s">
        <v>922</v>
      </c>
      <c r="C179" s="771"/>
      <c r="D179" s="772"/>
      <c r="E179" s="234"/>
      <c r="F179" s="253"/>
      <c r="G179" s="340">
        <v>55</v>
      </c>
      <c r="H179" s="349">
        <f>IF((-H52+H73+H88)&gt;0,-H52+H73+H88,0)</f>
        <v>0</v>
      </c>
      <c r="I179" s="340">
        <v>71</v>
      </c>
      <c r="J179" s="349">
        <f>IF((-J52-J116+J73+J88)&gt;0,-J52-J116+J73+J88,0)</f>
        <v>0</v>
      </c>
      <c r="K179" s="340">
        <v>88</v>
      </c>
      <c r="L179" s="349">
        <f>IF((-L52-L116+L56+L73+L88)&gt;0,-L52-L116+L56+L73+L88,0)</f>
        <v>0</v>
      </c>
      <c r="M179" s="234"/>
      <c r="N179" s="234"/>
      <c r="O179" s="234"/>
      <c r="P179" s="244"/>
      <c r="Q179" s="234"/>
    </row>
    <row r="180" spans="1:17" ht="7.5" customHeight="1">
      <c r="A180" s="2"/>
      <c r="B180" s="234"/>
      <c r="C180" s="234"/>
      <c r="D180" s="234"/>
      <c r="E180" s="234"/>
      <c r="F180" s="253"/>
      <c r="G180" s="251"/>
      <c r="H180" s="251"/>
      <c r="I180" s="234"/>
      <c r="J180" s="253"/>
      <c r="K180" s="234"/>
      <c r="L180" s="253"/>
      <c r="M180" s="234"/>
      <c r="N180" s="234"/>
      <c r="O180" s="234"/>
      <c r="P180" s="244"/>
      <c r="Q180" s="234"/>
    </row>
    <row r="181" spans="1:17" ht="13.5">
      <c r="A181" s="2"/>
      <c r="B181" s="780" t="s">
        <v>970</v>
      </c>
      <c r="C181" s="780"/>
      <c r="D181" s="780"/>
      <c r="E181" s="234"/>
      <c r="F181" s="251"/>
      <c r="G181" s="340">
        <v>56</v>
      </c>
      <c r="H181" s="239"/>
      <c r="I181" s="340">
        <v>72</v>
      </c>
      <c r="J181" s="239"/>
      <c r="K181" s="340">
        <v>89</v>
      </c>
      <c r="L181" s="239"/>
      <c r="M181" s="234"/>
      <c r="N181" s="234"/>
      <c r="O181" s="234"/>
      <c r="P181" s="244"/>
      <c r="Q181" s="234"/>
    </row>
    <row r="182" spans="1:17" ht="7.5" customHeight="1">
      <c r="A182" s="2"/>
      <c r="B182" s="234"/>
      <c r="C182" s="234"/>
      <c r="D182" s="234"/>
      <c r="E182" s="234"/>
      <c r="F182" s="251"/>
      <c r="G182" s="251"/>
      <c r="H182" s="251"/>
      <c r="I182" s="234"/>
      <c r="J182" s="234"/>
      <c r="K182" s="234"/>
      <c r="L182" s="234"/>
      <c r="M182" s="234"/>
      <c r="N182" s="234"/>
      <c r="O182" s="234"/>
      <c r="P182" s="234"/>
      <c r="Q182" s="234"/>
    </row>
    <row r="183" spans="1:17" ht="13.5">
      <c r="A183" s="2"/>
      <c r="B183" s="765" t="s">
        <v>923</v>
      </c>
      <c r="C183" s="766"/>
      <c r="D183" s="767"/>
      <c r="E183" s="340">
        <v>42</v>
      </c>
      <c r="F183" s="252">
        <f>+F90-F175</f>
        <v>0</v>
      </c>
      <c r="G183" s="340">
        <v>57</v>
      </c>
      <c r="H183" s="252">
        <f>+H177-H181</f>
        <v>0</v>
      </c>
      <c r="I183" s="340">
        <v>73</v>
      </c>
      <c r="J183" s="252">
        <f>+J177-J181</f>
        <v>0</v>
      </c>
      <c r="K183" s="340">
        <v>90</v>
      </c>
      <c r="L183" s="252">
        <f>+L177-L181</f>
        <v>0</v>
      </c>
      <c r="M183" s="234"/>
      <c r="N183" s="234"/>
      <c r="O183" s="234"/>
      <c r="P183" s="234"/>
      <c r="Q183" s="234"/>
    </row>
    <row r="184" spans="1:17" ht="21" customHeight="1">
      <c r="A184" s="2"/>
      <c r="B184" s="344"/>
      <c r="C184" s="344"/>
      <c r="D184" s="344"/>
      <c r="E184" s="344"/>
      <c r="F184" s="348"/>
      <c r="G184" s="344"/>
      <c r="H184" s="348"/>
      <c r="I184" s="344"/>
      <c r="J184" s="348"/>
      <c r="K184" s="344"/>
      <c r="L184" s="348"/>
      <c r="M184" s="344"/>
      <c r="N184" s="344"/>
      <c r="O184" s="344"/>
      <c r="P184" s="348"/>
      <c r="Q184" s="234"/>
    </row>
    <row r="185" spans="1:17" ht="13.5">
      <c r="A185" s="2"/>
      <c r="B185" s="765" t="s">
        <v>845</v>
      </c>
      <c r="C185" s="766"/>
      <c r="D185" s="767"/>
      <c r="E185" s="340">
        <v>91</v>
      </c>
      <c r="F185" s="252">
        <f>+F175+F183+H175+H183+J175+J183+L175+L183</f>
        <v>0</v>
      </c>
      <c r="G185" s="251"/>
      <c r="H185" s="251"/>
      <c r="I185" s="251"/>
      <c r="J185" s="251"/>
      <c r="K185" s="251"/>
      <c r="L185" s="251"/>
      <c r="M185" s="251"/>
      <c r="N185" s="234"/>
      <c r="O185" s="234"/>
      <c r="P185" s="253"/>
      <c r="Q185" s="234"/>
    </row>
    <row r="186" spans="1:17" ht="7.5" customHeight="1">
      <c r="A186" s="2"/>
      <c r="B186" s="234"/>
      <c r="C186" s="234"/>
      <c r="D186" s="234"/>
      <c r="E186" s="234"/>
      <c r="F186" s="251"/>
      <c r="G186" s="251"/>
      <c r="H186" s="251"/>
      <c r="I186" s="234"/>
      <c r="J186" s="234"/>
      <c r="K186" s="234"/>
      <c r="L186" s="234"/>
      <c r="M186" s="234"/>
      <c r="N186" s="234"/>
      <c r="O186" s="234"/>
      <c r="P186" s="234"/>
      <c r="Q186" s="234"/>
    </row>
    <row r="187" spans="1:17" ht="22.5" customHeight="1">
      <c r="A187" s="2"/>
      <c r="B187" s="770" t="s">
        <v>826</v>
      </c>
      <c r="C187" s="771"/>
      <c r="D187" s="772"/>
      <c r="E187" s="340">
        <v>92</v>
      </c>
      <c r="F187" s="349">
        <f>+F175+H175+J175+L175+J187+N187</f>
        <v>0</v>
      </c>
      <c r="G187" s="251"/>
      <c r="H187" s="511" t="s">
        <v>1052</v>
      </c>
      <c r="I187" s="340">
        <v>28</v>
      </c>
      <c r="J187" s="349">
        <f>+Datos!L23</f>
        <v>0</v>
      </c>
      <c r="K187" s="781" t="s">
        <v>1053</v>
      </c>
      <c r="L187" s="782"/>
      <c r="M187" s="340">
        <v>139</v>
      </c>
      <c r="N187" s="349">
        <f>+'Anexo Contador'!J156</f>
        <v>0</v>
      </c>
      <c r="O187" s="782" t="s">
        <v>1083</v>
      </c>
      <c r="P187" s="782"/>
      <c r="Q187" s="234"/>
    </row>
    <row r="188" spans="1:17" ht="22.5" customHeight="1">
      <c r="A188" s="2"/>
      <c r="B188" s="234"/>
      <c r="C188" s="234"/>
      <c r="D188" s="234"/>
      <c r="E188" s="234"/>
      <c r="F188" s="251"/>
      <c r="G188" s="251"/>
      <c r="H188" s="251"/>
      <c r="I188" s="234"/>
      <c r="J188" s="234"/>
      <c r="K188" s="234"/>
      <c r="L188" s="234"/>
      <c r="M188" s="234"/>
      <c r="N188" s="234"/>
      <c r="O188" s="782"/>
      <c r="P188" s="782"/>
      <c r="Q188" s="234"/>
    </row>
    <row r="189" spans="1:17" ht="25.5" customHeight="1">
      <c r="A189" s="2"/>
      <c r="B189" s="770" t="s">
        <v>827</v>
      </c>
      <c r="C189" s="771"/>
      <c r="D189" s="772"/>
      <c r="E189" s="340">
        <v>93</v>
      </c>
      <c r="F189" s="349">
        <f>+F185-F187</f>
        <v>0</v>
      </c>
      <c r="G189" s="251"/>
      <c r="H189" s="521" t="e">
        <f>+F189/F185</f>
        <v>#DIV/0!</v>
      </c>
      <c r="I189" s="783" t="s">
        <v>1084</v>
      </c>
      <c r="J189" s="784"/>
      <c r="K189" s="234"/>
      <c r="L189" s="234"/>
      <c r="M189" s="234"/>
      <c r="N189" s="234"/>
      <c r="O189" s="782"/>
      <c r="P189" s="782"/>
      <c r="Q189" s="234"/>
    </row>
    <row r="190" spans="1:17" ht="7.5" customHeight="1">
      <c r="A190" s="2"/>
      <c r="B190" s="234"/>
      <c r="C190" s="234"/>
      <c r="D190" s="234"/>
      <c r="E190" s="234"/>
      <c r="F190" s="251"/>
      <c r="G190" s="251"/>
      <c r="H190" s="522"/>
      <c r="I190" s="785"/>
      <c r="J190" s="786"/>
      <c r="K190" s="234"/>
      <c r="L190" s="234"/>
      <c r="M190" s="234"/>
      <c r="N190" s="234"/>
      <c r="O190" s="234"/>
      <c r="P190" s="234"/>
      <c r="Q190" s="234"/>
    </row>
    <row r="191" spans="1:17" ht="13.5">
      <c r="A191" s="37"/>
      <c r="B191" s="762" t="s">
        <v>828</v>
      </c>
      <c r="C191" s="762"/>
      <c r="D191" s="762"/>
      <c r="E191" s="234"/>
      <c r="F191" s="239"/>
      <c r="G191" s="251"/>
      <c r="H191" s="522"/>
      <c r="I191" s="785"/>
      <c r="J191" s="786"/>
      <c r="K191" s="234"/>
      <c r="L191" s="234"/>
      <c r="M191" s="234"/>
      <c r="N191" s="234"/>
      <c r="O191" s="234"/>
      <c r="P191" s="234"/>
      <c r="Q191" s="234"/>
    </row>
    <row r="192" spans="1:17" ht="13.5">
      <c r="A192" s="37"/>
      <c r="B192" s="762" t="s">
        <v>829</v>
      </c>
      <c r="C192" s="762"/>
      <c r="D192" s="762"/>
      <c r="E192" s="234"/>
      <c r="F192" s="239"/>
      <c r="G192" s="251"/>
      <c r="H192" s="523"/>
      <c r="I192" s="787"/>
      <c r="J192" s="788"/>
      <c r="K192" s="251"/>
      <c r="L192" s="251"/>
      <c r="M192" s="234"/>
      <c r="N192" s="234"/>
      <c r="O192" s="234"/>
      <c r="P192" s="234"/>
      <c r="Q192" s="234"/>
    </row>
    <row r="193" spans="1:17">
      <c r="A193" s="37"/>
      <c r="B193" s="744"/>
      <c r="C193" s="744"/>
      <c r="D193" s="744"/>
      <c r="E193" s="234"/>
      <c r="F193" s="239"/>
      <c r="G193" s="251"/>
      <c r="H193" s="251"/>
      <c r="I193" s="234"/>
      <c r="J193" s="251"/>
      <c r="K193" s="251"/>
      <c r="L193" s="251"/>
      <c r="M193" s="234"/>
      <c r="N193" s="234"/>
      <c r="O193" s="234"/>
      <c r="P193" s="234"/>
      <c r="Q193" s="234"/>
    </row>
    <row r="194" spans="1:17" ht="7.5" customHeight="1">
      <c r="A194" s="37"/>
      <c r="B194" s="234"/>
      <c r="C194" s="234"/>
      <c r="D194" s="234"/>
      <c r="E194" s="234"/>
      <c r="F194" s="253"/>
      <c r="G194" s="251"/>
      <c r="H194" s="251"/>
      <c r="I194" s="234"/>
      <c r="J194" s="251"/>
      <c r="K194" s="251"/>
      <c r="L194" s="251"/>
      <c r="M194" s="234"/>
      <c r="N194" s="234"/>
      <c r="O194" s="234"/>
      <c r="P194" s="234"/>
      <c r="Q194" s="234"/>
    </row>
    <row r="195" spans="1:17" ht="33" customHeight="1">
      <c r="A195" s="37"/>
      <c r="B195" s="795" t="s">
        <v>924</v>
      </c>
      <c r="C195" s="796"/>
      <c r="D195" s="797"/>
      <c r="E195" s="340">
        <v>94</v>
      </c>
      <c r="F195" s="356">
        <f>+F191+F192+F193</f>
        <v>0</v>
      </c>
      <c r="G195" s="234"/>
      <c r="H195" s="234"/>
      <c r="I195" s="234"/>
      <c r="J195" s="251"/>
      <c r="K195" s="251"/>
      <c r="L195" s="251"/>
      <c r="M195" s="234"/>
      <c r="N195" s="234"/>
      <c r="O195" s="234"/>
      <c r="P195" s="234"/>
      <c r="Q195" s="234"/>
    </row>
    <row r="196" spans="1:17" ht="6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251"/>
      <c r="K196" s="251"/>
      <c r="L196" s="251"/>
      <c r="M196" s="37"/>
      <c r="N196" s="37"/>
      <c r="O196" s="37"/>
      <c r="P196" s="37"/>
      <c r="Q196" s="33"/>
    </row>
    <row r="197" spans="1:17" ht="27" customHeight="1">
      <c r="A197" s="37"/>
      <c r="B197" s="770" t="s">
        <v>830</v>
      </c>
      <c r="C197" s="771"/>
      <c r="D197" s="772"/>
      <c r="E197" s="340">
        <v>95</v>
      </c>
      <c r="F197" s="357"/>
      <c r="G197" s="37"/>
      <c r="H197" s="37"/>
      <c r="I197" s="37"/>
      <c r="J197" s="251"/>
      <c r="K197" s="251"/>
      <c r="L197" s="251"/>
      <c r="M197" s="37"/>
      <c r="N197" s="37"/>
      <c r="O197" s="37"/>
      <c r="P197" s="37"/>
      <c r="Q197" s="33"/>
    </row>
    <row r="198" spans="1:17" ht="7.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251"/>
      <c r="K198" s="251"/>
      <c r="L198" s="251"/>
      <c r="M198" s="37"/>
      <c r="N198" s="37"/>
      <c r="O198" s="37"/>
      <c r="P198" s="37"/>
      <c r="Q198" s="33"/>
    </row>
    <row r="199" spans="1:17" ht="13.5">
      <c r="A199" s="37"/>
      <c r="B199" s="762" t="s">
        <v>233</v>
      </c>
      <c r="C199" s="762"/>
      <c r="D199" s="762"/>
      <c r="E199" s="37"/>
      <c r="F199" s="317">
        <f>+'Rtas Especiales'!F27</f>
        <v>0</v>
      </c>
      <c r="G199" s="37"/>
      <c r="H199" s="798"/>
      <c r="I199" s="798"/>
      <c r="J199" s="798"/>
      <c r="K199" s="37"/>
      <c r="L199" s="37"/>
      <c r="M199" s="37"/>
      <c r="N199" s="37"/>
      <c r="O199" s="37"/>
      <c r="P199" s="37"/>
      <c r="Q199" s="33"/>
    </row>
    <row r="200" spans="1:17" ht="13.5">
      <c r="A200" s="37"/>
      <c r="B200" s="762" t="s">
        <v>234</v>
      </c>
      <c r="C200" s="762"/>
      <c r="D200" s="762"/>
      <c r="E200" s="37"/>
      <c r="F200" s="317">
        <f>+'Rtas Especiales'!H27</f>
        <v>0</v>
      </c>
      <c r="G200" s="37"/>
      <c r="H200" s="798"/>
      <c r="I200" s="798"/>
      <c r="J200" s="798"/>
      <c r="K200" s="37"/>
      <c r="L200" s="37"/>
      <c r="M200" s="37"/>
      <c r="N200" s="37"/>
      <c r="O200" s="37"/>
      <c r="P200" s="37"/>
      <c r="Q200" s="33"/>
    </row>
    <row r="201" spans="1:17" ht="13.5">
      <c r="A201" s="37"/>
      <c r="B201" s="465" t="s">
        <v>832</v>
      </c>
      <c r="C201" s="465"/>
      <c r="D201" s="465"/>
      <c r="E201" s="37"/>
      <c r="F201" s="239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3"/>
    </row>
    <row r="202" spans="1:17" ht="13.5">
      <c r="A202" s="37"/>
      <c r="B202" s="762" t="s">
        <v>235</v>
      </c>
      <c r="C202" s="762"/>
      <c r="D202" s="762"/>
      <c r="E202" s="37"/>
      <c r="F202" s="239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3"/>
    </row>
    <row r="203" spans="1:17" ht="7.5" customHeight="1">
      <c r="A203" s="37"/>
      <c r="B203" s="234"/>
      <c r="C203" s="234"/>
      <c r="D203" s="234"/>
      <c r="E203" s="37"/>
      <c r="F203" s="253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3"/>
    </row>
    <row r="204" spans="1:17" ht="16.5" customHeight="1">
      <c r="A204" s="37"/>
      <c r="B204" s="792" t="s">
        <v>831</v>
      </c>
      <c r="C204" s="793"/>
      <c r="D204" s="794"/>
      <c r="E204" s="37"/>
      <c r="F204" s="242">
        <f>+F199+F200+F201+F202</f>
        <v>0</v>
      </c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3"/>
    </row>
    <row r="205" spans="1:17" ht="13.5">
      <c r="A205" s="37"/>
      <c r="B205" s="765" t="s">
        <v>833</v>
      </c>
      <c r="C205" s="766"/>
      <c r="D205" s="767"/>
      <c r="E205" s="340">
        <v>96</v>
      </c>
      <c r="F205" s="243">
        <f>ROUND(F204,-3)</f>
        <v>0</v>
      </c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3"/>
    </row>
    <row r="206" spans="1:17" ht="7.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3"/>
    </row>
    <row r="207" spans="1:17" ht="26.25" customHeight="1">
      <c r="A207" s="37"/>
      <c r="B207" s="770" t="s">
        <v>834</v>
      </c>
      <c r="C207" s="771"/>
      <c r="D207" s="772"/>
      <c r="E207" s="340">
        <v>97</v>
      </c>
      <c r="F207" s="248">
        <f>+F189+F205-F195-F197</f>
        <v>0</v>
      </c>
      <c r="G207" s="340"/>
      <c r="H207" s="770" t="s">
        <v>266</v>
      </c>
      <c r="I207" s="771"/>
      <c r="J207" s="772"/>
      <c r="K207" s="340">
        <v>98</v>
      </c>
      <c r="L207" s="248">
        <f>+'Rtas Especiales'!V63</f>
        <v>0</v>
      </c>
      <c r="M207" s="37"/>
      <c r="N207" s="37"/>
      <c r="O207" s="37"/>
      <c r="P207" s="37"/>
      <c r="Q207" s="33"/>
    </row>
    <row r="208" spans="1:17" ht="18" customHeight="1">
      <c r="A208" s="37"/>
      <c r="B208" s="344"/>
      <c r="C208" s="344"/>
      <c r="D208" s="344"/>
      <c r="E208" s="344"/>
      <c r="F208" s="348"/>
      <c r="G208" s="344"/>
      <c r="H208" s="348"/>
      <c r="I208" s="344"/>
      <c r="J208" s="348"/>
      <c r="K208" s="344"/>
      <c r="L208" s="348"/>
      <c r="M208" s="344"/>
      <c r="N208" s="344"/>
      <c r="O208" s="344"/>
      <c r="P208" s="348"/>
      <c r="Q208" s="33"/>
    </row>
    <row r="209" spans="1:17" ht="26.25" customHeight="1">
      <c r="A209" s="37"/>
      <c r="B209" s="37"/>
      <c r="C209" s="37"/>
      <c r="D209" s="37"/>
      <c r="E209" s="37"/>
      <c r="F209" s="37"/>
      <c r="G209" s="37"/>
      <c r="H209" s="770" t="s">
        <v>835</v>
      </c>
      <c r="I209" s="771"/>
      <c r="J209" s="772"/>
      <c r="K209" s="340"/>
      <c r="L209" s="340"/>
      <c r="M209" s="340">
        <v>103</v>
      </c>
      <c r="N209" s="248">
        <f>+N90-N133</f>
        <v>0</v>
      </c>
      <c r="O209" s="37"/>
      <c r="P209" s="37"/>
      <c r="Q209" s="37"/>
    </row>
    <row r="210" spans="1:17" ht="17.25" customHeight="1">
      <c r="A210" s="37"/>
      <c r="B210" s="344"/>
      <c r="C210" s="344"/>
      <c r="D210" s="344"/>
      <c r="E210" s="344"/>
      <c r="F210" s="348"/>
      <c r="G210" s="344"/>
      <c r="H210" s="348"/>
      <c r="I210" s="344"/>
      <c r="J210" s="348"/>
      <c r="K210" s="344"/>
      <c r="L210" s="348"/>
      <c r="M210" s="344"/>
      <c r="N210" s="344"/>
      <c r="O210" s="344"/>
      <c r="P210" s="348"/>
      <c r="Q210" s="37"/>
    </row>
    <row r="211" spans="1:17" ht="25.5" customHeight="1">
      <c r="A211" s="37"/>
      <c r="B211" s="37"/>
      <c r="C211" s="37"/>
      <c r="D211" s="37"/>
      <c r="E211" s="37"/>
      <c r="F211" s="37"/>
      <c r="G211" s="37"/>
      <c r="H211" s="770" t="s">
        <v>925</v>
      </c>
      <c r="I211" s="771"/>
      <c r="J211" s="771"/>
      <c r="K211" s="771"/>
      <c r="L211" s="772"/>
      <c r="M211" s="37"/>
      <c r="N211" s="37"/>
      <c r="O211" s="340"/>
      <c r="P211" s="248">
        <f>+P52-P73+P98+P106+P116-P133</f>
        <v>0</v>
      </c>
      <c r="Q211" s="37"/>
    </row>
    <row r="212" spans="1:17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</row>
  </sheetData>
  <sheetProtection algorithmName="SHA-512" hashValue="0+46nbVMbgzYQ9LMFirzcoreD8iYpdmyoS3TMGg561DtYxcLHgW4n2d5etJyuStnJF76YVIYcL6s1WTK4nKMZw==" saltValue="NtJO3S/IQ5BmyoEQVwiC2w==" spinCount="100000" sheet="1" objects="1" scenarios="1" formatCells="0" formatColumns="0" formatRows="0" selectLockedCells="1"/>
  <mergeCells count="144">
    <mergeCell ref="K187:L187"/>
    <mergeCell ref="O187:P189"/>
    <mergeCell ref="I189:J192"/>
    <mergeCell ref="C170:P170"/>
    <mergeCell ref="H211:L211"/>
    <mergeCell ref="B202:D202"/>
    <mergeCell ref="B204:D204"/>
    <mergeCell ref="B205:D205"/>
    <mergeCell ref="B207:D207"/>
    <mergeCell ref="H207:J207"/>
    <mergeCell ref="H209:J209"/>
    <mergeCell ref="B193:D193"/>
    <mergeCell ref="B195:D195"/>
    <mergeCell ref="B197:D197"/>
    <mergeCell ref="B199:D199"/>
    <mergeCell ref="H199:J200"/>
    <mergeCell ref="B200:D200"/>
    <mergeCell ref="B183:D183"/>
    <mergeCell ref="B185:D185"/>
    <mergeCell ref="B187:D187"/>
    <mergeCell ref="B189:D189"/>
    <mergeCell ref="B191:D191"/>
    <mergeCell ref="B192:D192"/>
    <mergeCell ref="B168:D168"/>
    <mergeCell ref="B175:D175"/>
    <mergeCell ref="B177:D177"/>
    <mergeCell ref="B179:D179"/>
    <mergeCell ref="B181:D181"/>
    <mergeCell ref="B157:D157"/>
    <mergeCell ref="B159:D159"/>
    <mergeCell ref="B161:D161"/>
    <mergeCell ref="B163:D163"/>
    <mergeCell ref="B166:D166"/>
    <mergeCell ref="B167:D167"/>
    <mergeCell ref="B145:D145"/>
    <mergeCell ref="B146:D146"/>
    <mergeCell ref="B147:D147"/>
    <mergeCell ref="B149:D149"/>
    <mergeCell ref="B151:D151"/>
    <mergeCell ref="B153:P156"/>
    <mergeCell ref="B139:D139"/>
    <mergeCell ref="B140:D140"/>
    <mergeCell ref="B141:D141"/>
    <mergeCell ref="B142:D142"/>
    <mergeCell ref="B143:D143"/>
    <mergeCell ref="B144:D144"/>
    <mergeCell ref="B131:D131"/>
    <mergeCell ref="B133:D133"/>
    <mergeCell ref="B135:D135"/>
    <mergeCell ref="B136:D136"/>
    <mergeCell ref="B137:D137"/>
    <mergeCell ref="B138:D138"/>
    <mergeCell ref="B125:D125"/>
    <mergeCell ref="B126:D126"/>
    <mergeCell ref="B127:D127"/>
    <mergeCell ref="B128:D128"/>
    <mergeCell ref="B129:D129"/>
    <mergeCell ref="B130:D130"/>
    <mergeCell ref="F118:P118"/>
    <mergeCell ref="B121:D121"/>
    <mergeCell ref="B122:D122"/>
    <mergeCell ref="B123:D123"/>
    <mergeCell ref="B124:D124"/>
    <mergeCell ref="B110:D110"/>
    <mergeCell ref="B111:D111"/>
    <mergeCell ref="B112:D112"/>
    <mergeCell ref="B114:D114"/>
    <mergeCell ref="F108:L108"/>
    <mergeCell ref="M108:P108"/>
    <mergeCell ref="B83:D83"/>
    <mergeCell ref="B84:D84"/>
    <mergeCell ref="B86:D86"/>
    <mergeCell ref="B88:D88"/>
    <mergeCell ref="B90:D90"/>
    <mergeCell ref="B92:D92"/>
    <mergeCell ref="B116:D116"/>
    <mergeCell ref="B77:D77"/>
    <mergeCell ref="B78:D78"/>
    <mergeCell ref="B79:D79"/>
    <mergeCell ref="B80:D80"/>
    <mergeCell ref="B81:D81"/>
    <mergeCell ref="B82:D82"/>
    <mergeCell ref="B104:D104"/>
    <mergeCell ref="F75:L75"/>
    <mergeCell ref="B48:D48"/>
    <mergeCell ref="B50:D50"/>
    <mergeCell ref="B52:D52"/>
    <mergeCell ref="B54:D54"/>
    <mergeCell ref="F58:P58"/>
    <mergeCell ref="B60:D60"/>
    <mergeCell ref="B71:D71"/>
    <mergeCell ref="B73:D73"/>
    <mergeCell ref="B93:D93"/>
    <mergeCell ref="B94:D94"/>
    <mergeCell ref="B96:D96"/>
    <mergeCell ref="B100:D100"/>
    <mergeCell ref="B101:D101"/>
    <mergeCell ref="B102:D102"/>
    <mergeCell ref="B42:D42"/>
    <mergeCell ref="B43:D43"/>
    <mergeCell ref="B44:D44"/>
    <mergeCell ref="B45:D45"/>
    <mergeCell ref="B46:D46"/>
    <mergeCell ref="B47:D47"/>
    <mergeCell ref="B67:D67"/>
    <mergeCell ref="B68:D68"/>
    <mergeCell ref="B69:D69"/>
    <mergeCell ref="B61:D61"/>
    <mergeCell ref="B62:D62"/>
    <mergeCell ref="B63:D63"/>
    <mergeCell ref="B64:D64"/>
    <mergeCell ref="B65:D65"/>
    <mergeCell ref="B66:D66"/>
    <mergeCell ref="B36:D36"/>
    <mergeCell ref="B37:D37"/>
    <mergeCell ref="B38:D38"/>
    <mergeCell ref="B39:D39"/>
    <mergeCell ref="B40:D40"/>
    <mergeCell ref="B41:D41"/>
    <mergeCell ref="B25:D25"/>
    <mergeCell ref="B27:D27"/>
    <mergeCell ref="B28:D28"/>
    <mergeCell ref="B29:D29"/>
    <mergeCell ref="B33:D33"/>
    <mergeCell ref="B35:D35"/>
    <mergeCell ref="B20:D20"/>
    <mergeCell ref="B21:D21"/>
    <mergeCell ref="B22:D22"/>
    <mergeCell ref="B23:D23"/>
    <mergeCell ref="B5:L5"/>
    <mergeCell ref="B7:D7"/>
    <mergeCell ref="F10:P10"/>
    <mergeCell ref="B11:D11"/>
    <mergeCell ref="B14:D14"/>
    <mergeCell ref="B16:D16"/>
    <mergeCell ref="B2:C2"/>
    <mergeCell ref="D2:E2"/>
    <mergeCell ref="F2:G2"/>
    <mergeCell ref="M2:P2"/>
    <mergeCell ref="M3:P3"/>
    <mergeCell ref="B4:D4"/>
    <mergeCell ref="M4:P4"/>
    <mergeCell ref="B17:D17"/>
    <mergeCell ref="B18:D18"/>
  </mergeCells>
  <dataValidations count="1">
    <dataValidation type="list" allowBlank="1" showInputMessage="1" showErrorMessage="1" sqref="F173 L173 J173 H173">
      <formula1>$Q$170:$Q$173</formula1>
    </dataValidation>
  </dataValidations>
  <printOptions horizontalCentered="1"/>
  <pageMargins left="0.39370078740157483" right="0.39370078740157483" top="0.39370078740157483" bottom="0.78740157480314965" header="0.31496062992125984" footer="0.39370078740157483"/>
  <pageSetup scale="90" orientation="landscape" horizontalDpi="360" verticalDpi="360" r:id="rId1"/>
  <headerFooter scaleWithDoc="0" alignWithMargins="0">
    <oddFooter>&amp;L&amp;A&amp;CPagina &amp;P de &amp;N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FFFF00"/>
  </sheetPr>
  <dimension ref="A1:AC73"/>
  <sheetViews>
    <sheetView topLeftCell="A22" zoomScale="120" zoomScaleNormal="120" workbookViewId="0">
      <selection activeCell="T18" sqref="T18"/>
    </sheetView>
  </sheetViews>
  <sheetFormatPr baseColWidth="10" defaultColWidth="0" defaultRowHeight="12.75" zeroHeight="1"/>
  <cols>
    <col min="1" max="1" width="2.7109375" style="287" customWidth="1"/>
    <col min="2" max="2" width="12.7109375" style="287" customWidth="1"/>
    <col min="3" max="3" width="2.7109375" style="287" customWidth="1"/>
    <col min="4" max="4" width="10.7109375" style="287" customWidth="1"/>
    <col min="5" max="5" width="0.85546875" style="287" customWidth="1"/>
    <col min="6" max="6" width="11.7109375" style="287" customWidth="1"/>
    <col min="7" max="7" width="0.85546875" style="287" customWidth="1"/>
    <col min="8" max="8" width="11.7109375" style="287" customWidth="1"/>
    <col min="9" max="9" width="0.85546875" style="287" customWidth="1"/>
    <col min="10" max="10" width="11.7109375" style="287" customWidth="1"/>
    <col min="11" max="11" width="0.85546875" style="287" customWidth="1"/>
    <col min="12" max="12" width="11.7109375" style="287" customWidth="1"/>
    <col min="13" max="13" width="0.85546875" style="287" customWidth="1"/>
    <col min="14" max="14" width="11.5703125" style="287" customWidth="1"/>
    <col min="15" max="15" width="0.85546875" style="287" customWidth="1"/>
    <col min="16" max="16" width="11.7109375" style="287" customWidth="1"/>
    <col min="17" max="17" width="0.85546875" style="287" customWidth="1"/>
    <col min="18" max="18" width="11.7109375" style="287" customWidth="1"/>
    <col min="19" max="19" width="0.85546875" style="287" customWidth="1"/>
    <col min="20" max="20" width="11.7109375" style="287" customWidth="1"/>
    <col min="21" max="21" width="0.85546875" style="287" customWidth="1"/>
    <col min="22" max="22" width="11.7109375" style="287" customWidth="1"/>
    <col min="23" max="23" width="1.7109375" style="287" customWidth="1"/>
    <col min="24" max="24" width="2.5703125" hidden="1" customWidth="1"/>
    <col min="25" max="25" width="2.42578125" hidden="1" customWidth="1"/>
    <col min="26" max="26" width="2.28515625" hidden="1" customWidth="1"/>
    <col min="27" max="28" width="2.85546875" hidden="1" customWidth="1"/>
    <col min="29" max="29" width="3.28515625" hidden="1" customWidth="1"/>
    <col min="30" max="16384" width="11.42578125" hidden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ht="18" customHeight="1">
      <c r="A2" s="21"/>
      <c r="B2" s="148" t="str">
        <f>+Datos!D12</f>
        <v xml:space="preserve"> </v>
      </c>
      <c r="C2" s="149"/>
      <c r="D2" s="150" t="str">
        <f>+Datos!D13</f>
        <v xml:space="preserve"> </v>
      </c>
      <c r="E2" s="149"/>
      <c r="F2" s="151" t="str">
        <f>+Datos!D14</f>
        <v xml:space="preserve"> </v>
      </c>
      <c r="G2" s="149"/>
      <c r="H2" s="152" t="str">
        <f>+Datos!D15</f>
        <v xml:space="preserve"> </v>
      </c>
      <c r="I2" s="33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44" t="s">
        <v>252</v>
      </c>
      <c r="W2" s="21"/>
      <c r="X2" s="20"/>
      <c r="Y2" s="20"/>
    </row>
    <row r="3" spans="1:25" ht="4.5" customHeight="1">
      <c r="A3" s="3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21"/>
      <c r="X3" s="20"/>
      <c r="Y3" s="20"/>
    </row>
    <row r="4" spans="1:25">
      <c r="A4" s="33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44" t="s">
        <v>16</v>
      </c>
      <c r="W4" s="21"/>
      <c r="X4" s="20"/>
      <c r="Y4" s="20"/>
    </row>
    <row r="5" spans="1:25" ht="4.5" customHeight="1">
      <c r="A5" s="21"/>
      <c r="B5" s="18"/>
      <c r="C5" s="18"/>
      <c r="D5" s="18"/>
      <c r="E5" s="18"/>
      <c r="F5" s="18"/>
      <c r="G5" s="18"/>
      <c r="H5" s="18"/>
      <c r="I5" s="33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21"/>
      <c r="X5" s="20"/>
      <c r="Y5" s="20"/>
    </row>
    <row r="6" spans="1:25">
      <c r="A6" s="21"/>
      <c r="B6" s="153" t="str">
        <f>+Datos!D11</f>
        <v xml:space="preserve"> </v>
      </c>
      <c r="C6" s="153" t="str">
        <f>+Datos!J11</f>
        <v xml:space="preserve"> </v>
      </c>
      <c r="D6" s="18"/>
      <c r="E6" s="18"/>
      <c r="F6" s="18"/>
      <c r="G6" s="18"/>
      <c r="H6" s="18"/>
      <c r="I6" s="33"/>
      <c r="J6" s="33"/>
      <c r="K6" s="33"/>
      <c r="L6" s="33"/>
      <c r="M6" s="18"/>
      <c r="N6" s="18"/>
      <c r="O6" s="18"/>
      <c r="P6" s="18"/>
      <c r="Q6" s="18"/>
      <c r="R6" s="18"/>
      <c r="S6" s="18"/>
      <c r="T6" s="18"/>
      <c r="U6" s="18"/>
      <c r="V6" s="144">
        <f>+Datos!D10</f>
        <v>2025</v>
      </c>
      <c r="W6" s="21"/>
      <c r="X6" s="20"/>
      <c r="Y6" s="20"/>
    </row>
    <row r="7" spans="1:25" ht="4.5" customHeight="1">
      <c r="A7" s="21"/>
      <c r="B7" s="18"/>
      <c r="C7" s="94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21"/>
      <c r="X7" s="20"/>
      <c r="Y7" s="20"/>
    </row>
    <row r="8" spans="1:25" ht="21" customHeight="1">
      <c r="A8" s="21"/>
      <c r="B8" s="818" t="s">
        <v>75</v>
      </c>
      <c r="C8" s="819"/>
      <c r="D8" s="819"/>
      <c r="E8" s="819"/>
      <c r="F8" s="819"/>
      <c r="G8" s="819"/>
      <c r="H8" s="820"/>
      <c r="I8" s="18"/>
      <c r="J8" s="821" t="s">
        <v>78</v>
      </c>
      <c r="K8" s="822"/>
      <c r="L8" s="822"/>
      <c r="M8" s="822"/>
      <c r="N8" s="822"/>
      <c r="O8" s="822"/>
      <c r="P8" s="822"/>
      <c r="Q8" s="822"/>
      <c r="R8" s="822"/>
      <c r="S8" s="822"/>
      <c r="T8" s="822"/>
      <c r="U8" s="822"/>
      <c r="V8" s="823"/>
      <c r="W8" s="21"/>
      <c r="X8" s="20"/>
      <c r="Y8" s="20"/>
    </row>
    <row r="9" spans="1:25" ht="4.5" customHeight="1">
      <c r="A9" s="33"/>
      <c r="B9" s="18"/>
      <c r="C9" s="18"/>
      <c r="D9" s="18"/>
      <c r="E9" s="18"/>
      <c r="F9" s="18"/>
      <c r="G9" s="18"/>
      <c r="H9" s="18"/>
      <c r="I9" s="33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21"/>
      <c r="X9" s="20"/>
      <c r="Y9" s="20"/>
    </row>
    <row r="10" spans="1:25" ht="38.25">
      <c r="A10" s="21"/>
      <c r="B10" s="697" t="s">
        <v>49</v>
      </c>
      <c r="C10" s="698"/>
      <c r="D10" s="699"/>
      <c r="E10" s="26"/>
      <c r="F10" s="144" t="s">
        <v>76</v>
      </c>
      <c r="G10" s="26"/>
      <c r="H10" s="144" t="s">
        <v>77</v>
      </c>
      <c r="I10" s="26"/>
      <c r="J10" s="144" t="s">
        <v>170</v>
      </c>
      <c r="K10" s="26"/>
      <c r="L10" s="144" t="s">
        <v>171</v>
      </c>
      <c r="M10" s="26"/>
      <c r="N10" s="741"/>
      <c r="O10" s="741"/>
      <c r="P10" s="741"/>
      <c r="Q10" s="26"/>
      <c r="R10" s="144" t="s">
        <v>79</v>
      </c>
      <c r="S10" s="26"/>
      <c r="T10" s="144" t="s">
        <v>80</v>
      </c>
      <c r="U10" s="26"/>
      <c r="V10" s="144" t="s">
        <v>81</v>
      </c>
      <c r="W10" s="31"/>
      <c r="X10" s="20"/>
      <c r="Y10" s="20"/>
    </row>
    <row r="11" spans="1:25" ht="4.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741"/>
      <c r="O11" s="741"/>
      <c r="P11" s="741"/>
      <c r="Q11" s="21"/>
      <c r="R11" s="21"/>
      <c r="S11" s="21"/>
      <c r="T11" s="21"/>
      <c r="U11" s="21"/>
      <c r="V11" s="21"/>
      <c r="W11" s="21"/>
      <c r="X11" s="20"/>
      <c r="Y11" s="20"/>
    </row>
    <row r="12" spans="1:25">
      <c r="A12" s="29">
        <v>1</v>
      </c>
      <c r="B12" s="808"/>
      <c r="C12" s="809"/>
      <c r="D12" s="810"/>
      <c r="E12" s="18"/>
      <c r="F12" s="45"/>
      <c r="G12" s="19"/>
      <c r="H12" s="45"/>
      <c r="I12" s="24"/>
      <c r="J12" s="48"/>
      <c r="K12" s="24"/>
      <c r="L12" s="48"/>
      <c r="M12" s="19"/>
      <c r="N12" s="741"/>
      <c r="O12" s="741"/>
      <c r="P12" s="741"/>
      <c r="Q12" s="19"/>
      <c r="R12" s="48"/>
      <c r="S12" s="19"/>
      <c r="T12" s="48"/>
      <c r="U12" s="24"/>
      <c r="V12" s="51">
        <f>+J12+L12-R12-T12</f>
        <v>0</v>
      </c>
      <c r="W12" s="21"/>
      <c r="X12" s="20"/>
      <c r="Y12" s="20"/>
    </row>
    <row r="13" spans="1:25">
      <c r="A13" s="29">
        <v>2</v>
      </c>
      <c r="B13" s="805"/>
      <c r="C13" s="806"/>
      <c r="D13" s="807"/>
      <c r="E13" s="18"/>
      <c r="F13" s="46"/>
      <c r="G13" s="19"/>
      <c r="H13" s="46"/>
      <c r="I13" s="24"/>
      <c r="J13" s="49"/>
      <c r="K13" s="24"/>
      <c r="L13" s="49"/>
      <c r="M13" s="19"/>
      <c r="N13" s="741"/>
      <c r="O13" s="741"/>
      <c r="P13" s="741"/>
      <c r="Q13" s="19"/>
      <c r="R13" s="49"/>
      <c r="S13" s="19"/>
      <c r="T13" s="49"/>
      <c r="U13" s="24"/>
      <c r="V13" s="476">
        <f t="shared" ref="V13:V25" si="0">+J13+L13-R13-T13</f>
        <v>0</v>
      </c>
      <c r="W13" s="21"/>
      <c r="X13" s="20"/>
      <c r="Y13" s="20"/>
    </row>
    <row r="14" spans="1:25">
      <c r="A14" s="29">
        <v>3</v>
      </c>
      <c r="B14" s="805"/>
      <c r="C14" s="806"/>
      <c r="D14" s="807"/>
      <c r="E14" s="18"/>
      <c r="F14" s="46"/>
      <c r="G14" s="19"/>
      <c r="H14" s="46"/>
      <c r="I14" s="24"/>
      <c r="J14" s="49"/>
      <c r="K14" s="24"/>
      <c r="L14" s="49"/>
      <c r="M14" s="19"/>
      <c r="N14" s="741"/>
      <c r="O14" s="741"/>
      <c r="P14" s="741"/>
      <c r="Q14" s="19"/>
      <c r="R14" s="49"/>
      <c r="S14" s="19"/>
      <c r="T14" s="49"/>
      <c r="U14" s="24"/>
      <c r="V14" s="476">
        <f t="shared" si="0"/>
        <v>0</v>
      </c>
      <c r="W14" s="21"/>
      <c r="X14" s="20"/>
      <c r="Y14" s="20"/>
    </row>
    <row r="15" spans="1:25">
      <c r="A15" s="29">
        <v>4</v>
      </c>
      <c r="B15" s="805"/>
      <c r="C15" s="806"/>
      <c r="D15" s="807"/>
      <c r="E15" s="18"/>
      <c r="F15" s="46"/>
      <c r="G15" s="19"/>
      <c r="H15" s="46"/>
      <c r="I15" s="24"/>
      <c r="J15" s="49"/>
      <c r="K15" s="24"/>
      <c r="L15" s="49"/>
      <c r="M15" s="19"/>
      <c r="N15" s="741"/>
      <c r="O15" s="741"/>
      <c r="P15" s="741"/>
      <c r="Q15" s="19"/>
      <c r="R15" s="49"/>
      <c r="S15" s="19"/>
      <c r="T15" s="49"/>
      <c r="U15" s="24"/>
      <c r="V15" s="476">
        <f t="shared" si="0"/>
        <v>0</v>
      </c>
      <c r="W15" s="21"/>
      <c r="X15" s="20"/>
      <c r="Y15" s="20"/>
    </row>
    <row r="16" spans="1:25">
      <c r="A16" s="29">
        <v>5</v>
      </c>
      <c r="B16" s="805"/>
      <c r="C16" s="806"/>
      <c r="D16" s="807"/>
      <c r="E16" s="18"/>
      <c r="F16" s="46"/>
      <c r="G16" s="19"/>
      <c r="H16" s="46"/>
      <c r="I16" s="24"/>
      <c r="J16" s="49"/>
      <c r="K16" s="24"/>
      <c r="L16" s="49"/>
      <c r="M16" s="19"/>
      <c r="N16" s="741"/>
      <c r="O16" s="741"/>
      <c r="P16" s="741"/>
      <c r="Q16" s="19"/>
      <c r="R16" s="49"/>
      <c r="S16" s="19"/>
      <c r="T16" s="49"/>
      <c r="U16" s="24"/>
      <c r="V16" s="476">
        <f t="shared" si="0"/>
        <v>0</v>
      </c>
      <c r="W16" s="21"/>
      <c r="X16" s="20"/>
      <c r="Y16" s="20"/>
    </row>
    <row r="17" spans="1:25">
      <c r="A17" s="29">
        <v>6</v>
      </c>
      <c r="B17" s="805"/>
      <c r="C17" s="806"/>
      <c r="D17" s="807"/>
      <c r="E17" s="18"/>
      <c r="F17" s="46"/>
      <c r="G17" s="19"/>
      <c r="H17" s="46"/>
      <c r="I17" s="24"/>
      <c r="J17" s="49"/>
      <c r="K17" s="24"/>
      <c r="L17" s="49"/>
      <c r="M17" s="19"/>
      <c r="N17" s="741"/>
      <c r="O17" s="741"/>
      <c r="P17" s="741"/>
      <c r="Q17" s="19"/>
      <c r="R17" s="49"/>
      <c r="S17" s="19"/>
      <c r="T17" s="49"/>
      <c r="U17" s="24"/>
      <c r="V17" s="476">
        <f t="shared" si="0"/>
        <v>0</v>
      </c>
      <c r="W17" s="21"/>
      <c r="X17" s="20"/>
      <c r="Y17" s="20"/>
    </row>
    <row r="18" spans="1:25">
      <c r="A18" s="29">
        <v>7</v>
      </c>
      <c r="B18" s="358"/>
      <c r="C18" s="359"/>
      <c r="D18" s="360"/>
      <c r="E18" s="18"/>
      <c r="F18" s="46"/>
      <c r="G18" s="19"/>
      <c r="H18" s="46"/>
      <c r="I18" s="24"/>
      <c r="J18" s="49"/>
      <c r="K18" s="24"/>
      <c r="L18" s="49"/>
      <c r="M18" s="19"/>
      <c r="N18" s="741"/>
      <c r="O18" s="741"/>
      <c r="P18" s="741"/>
      <c r="Q18" s="19"/>
      <c r="R18" s="49"/>
      <c r="S18" s="19"/>
      <c r="T18" s="49"/>
      <c r="U18" s="24"/>
      <c r="V18" s="476">
        <f t="shared" si="0"/>
        <v>0</v>
      </c>
      <c r="W18" s="21"/>
      <c r="X18" s="20"/>
      <c r="Y18" s="20"/>
    </row>
    <row r="19" spans="1:25">
      <c r="A19" s="29">
        <v>8</v>
      </c>
      <c r="B19" s="358"/>
      <c r="C19" s="359"/>
      <c r="D19" s="360"/>
      <c r="E19" s="18"/>
      <c r="F19" s="46"/>
      <c r="G19" s="19"/>
      <c r="H19" s="46"/>
      <c r="I19" s="24"/>
      <c r="J19" s="49"/>
      <c r="K19" s="24"/>
      <c r="L19" s="49"/>
      <c r="M19" s="19"/>
      <c r="N19" s="741"/>
      <c r="O19" s="741"/>
      <c r="P19" s="741"/>
      <c r="Q19" s="19"/>
      <c r="R19" s="49"/>
      <c r="S19" s="19"/>
      <c r="T19" s="49"/>
      <c r="U19" s="24"/>
      <c r="V19" s="476">
        <f t="shared" si="0"/>
        <v>0</v>
      </c>
      <c r="W19" s="21"/>
      <c r="X19" s="20"/>
      <c r="Y19" s="20"/>
    </row>
    <row r="20" spans="1:25">
      <c r="A20" s="29">
        <v>9</v>
      </c>
      <c r="B20" s="358"/>
      <c r="C20" s="359"/>
      <c r="D20" s="360"/>
      <c r="E20" s="18"/>
      <c r="F20" s="46"/>
      <c r="G20" s="19"/>
      <c r="H20" s="46"/>
      <c r="I20" s="24"/>
      <c r="J20" s="49"/>
      <c r="K20" s="24"/>
      <c r="L20" s="49"/>
      <c r="M20" s="19"/>
      <c r="N20" s="741"/>
      <c r="O20" s="741"/>
      <c r="P20" s="741"/>
      <c r="Q20" s="19"/>
      <c r="R20" s="49"/>
      <c r="S20" s="19"/>
      <c r="T20" s="49"/>
      <c r="U20" s="24"/>
      <c r="V20" s="476">
        <f t="shared" si="0"/>
        <v>0</v>
      </c>
      <c r="W20" s="21"/>
      <c r="X20" s="20"/>
      <c r="Y20" s="20"/>
    </row>
    <row r="21" spans="1:25">
      <c r="A21" s="29">
        <v>10</v>
      </c>
      <c r="B21" s="358"/>
      <c r="C21" s="359"/>
      <c r="D21" s="360"/>
      <c r="E21" s="18"/>
      <c r="F21" s="46"/>
      <c r="G21" s="19"/>
      <c r="H21" s="46"/>
      <c r="I21" s="24"/>
      <c r="J21" s="49"/>
      <c r="K21" s="24"/>
      <c r="L21" s="49"/>
      <c r="M21" s="19"/>
      <c r="N21" s="741"/>
      <c r="O21" s="741"/>
      <c r="P21" s="741"/>
      <c r="Q21" s="19"/>
      <c r="R21" s="49"/>
      <c r="S21" s="19"/>
      <c r="T21" s="49"/>
      <c r="U21" s="24"/>
      <c r="V21" s="476">
        <f t="shared" si="0"/>
        <v>0</v>
      </c>
      <c r="W21" s="21"/>
      <c r="X21" s="20"/>
      <c r="Y21" s="20"/>
    </row>
    <row r="22" spans="1:25">
      <c r="A22" s="29">
        <v>11</v>
      </c>
      <c r="B22" s="805"/>
      <c r="C22" s="806"/>
      <c r="D22" s="807"/>
      <c r="E22" s="18"/>
      <c r="F22" s="46"/>
      <c r="G22" s="19"/>
      <c r="H22" s="46"/>
      <c r="I22" s="24"/>
      <c r="J22" s="49"/>
      <c r="K22" s="24"/>
      <c r="L22" s="49"/>
      <c r="M22" s="19"/>
      <c r="N22" s="741"/>
      <c r="O22" s="741"/>
      <c r="P22" s="741"/>
      <c r="Q22" s="19"/>
      <c r="R22" s="49"/>
      <c r="S22" s="19"/>
      <c r="T22" s="49"/>
      <c r="U22" s="24"/>
      <c r="V22" s="476">
        <f t="shared" si="0"/>
        <v>0</v>
      </c>
      <c r="W22" s="21"/>
      <c r="X22" s="20"/>
      <c r="Y22" s="20"/>
    </row>
    <row r="23" spans="1:25">
      <c r="A23" s="29">
        <v>12</v>
      </c>
      <c r="B23" s="805"/>
      <c r="C23" s="806"/>
      <c r="D23" s="807"/>
      <c r="E23" s="18"/>
      <c r="F23" s="46"/>
      <c r="G23" s="19"/>
      <c r="H23" s="46"/>
      <c r="I23" s="24"/>
      <c r="J23" s="49"/>
      <c r="K23" s="24"/>
      <c r="L23" s="49"/>
      <c r="M23" s="19"/>
      <c r="N23" s="741"/>
      <c r="O23" s="741"/>
      <c r="P23" s="741"/>
      <c r="Q23" s="19"/>
      <c r="R23" s="49"/>
      <c r="S23" s="19"/>
      <c r="T23" s="49"/>
      <c r="U23" s="24"/>
      <c r="V23" s="476">
        <f t="shared" si="0"/>
        <v>0</v>
      </c>
      <c r="W23" s="21"/>
      <c r="X23" s="20"/>
      <c r="Y23" s="20"/>
    </row>
    <row r="24" spans="1:25">
      <c r="A24" s="29">
        <v>13</v>
      </c>
      <c r="B24" s="805"/>
      <c r="C24" s="806"/>
      <c r="D24" s="807"/>
      <c r="E24" s="18"/>
      <c r="F24" s="46"/>
      <c r="G24" s="19"/>
      <c r="H24" s="46"/>
      <c r="I24" s="24"/>
      <c r="J24" s="49"/>
      <c r="K24" s="24"/>
      <c r="L24" s="49"/>
      <c r="M24" s="19"/>
      <c r="N24" s="741"/>
      <c r="O24" s="741"/>
      <c r="P24" s="741"/>
      <c r="Q24" s="19"/>
      <c r="R24" s="49"/>
      <c r="S24" s="19"/>
      <c r="T24" s="49"/>
      <c r="U24" s="24"/>
      <c r="V24" s="476">
        <f t="shared" si="0"/>
        <v>0</v>
      </c>
      <c r="W24" s="21"/>
      <c r="X24" s="20"/>
      <c r="Y24" s="20"/>
    </row>
    <row r="25" spans="1:25">
      <c r="A25" s="29">
        <v>14</v>
      </c>
      <c r="B25" s="811"/>
      <c r="C25" s="812"/>
      <c r="D25" s="813"/>
      <c r="E25" s="18"/>
      <c r="F25" s="47"/>
      <c r="G25" s="19"/>
      <c r="H25" s="47"/>
      <c r="I25" s="24"/>
      <c r="J25" s="50"/>
      <c r="K25" s="24"/>
      <c r="L25" s="50"/>
      <c r="M25" s="19"/>
      <c r="N25" s="741"/>
      <c r="O25" s="741"/>
      <c r="P25" s="741"/>
      <c r="Q25" s="19"/>
      <c r="R25" s="50"/>
      <c r="S25" s="19"/>
      <c r="T25" s="50"/>
      <c r="U25" s="24"/>
      <c r="V25" s="477">
        <f t="shared" si="0"/>
        <v>0</v>
      </c>
      <c r="W25" s="21"/>
      <c r="X25" s="20"/>
      <c r="Y25" s="20"/>
    </row>
    <row r="26" spans="1:25" ht="4.5" customHeight="1">
      <c r="A26" s="29"/>
      <c r="B26" s="678"/>
      <c r="C26" s="678"/>
      <c r="D26" s="678"/>
      <c r="E26" s="21"/>
      <c r="F26" s="24"/>
      <c r="G26" s="24"/>
      <c r="H26" s="24"/>
      <c r="I26" s="24"/>
      <c r="J26" s="24"/>
      <c r="K26" s="24"/>
      <c r="L26" s="24"/>
      <c r="M26" s="24"/>
      <c r="N26" s="741"/>
      <c r="O26" s="741"/>
      <c r="P26" s="741"/>
      <c r="Q26" s="24"/>
      <c r="R26" s="24"/>
      <c r="S26" s="24"/>
      <c r="T26" s="24"/>
      <c r="U26" s="24"/>
      <c r="V26" s="24"/>
      <c r="W26" s="21"/>
      <c r="X26" s="20"/>
      <c r="Y26" s="20"/>
    </row>
    <row r="27" spans="1:25">
      <c r="A27" s="29"/>
      <c r="B27" s="706" t="s">
        <v>70</v>
      </c>
      <c r="C27" s="707"/>
      <c r="D27" s="708"/>
      <c r="E27" s="26"/>
      <c r="F27" s="116">
        <f>SUM(F12:F25)</f>
        <v>0</v>
      </c>
      <c r="G27" s="16"/>
      <c r="H27" s="116">
        <f>SUM(H12:H25)</f>
        <v>0</v>
      </c>
      <c r="I27" s="16"/>
      <c r="J27" s="116">
        <f>SUM(J12:J25)</f>
        <v>0</v>
      </c>
      <c r="K27" s="16"/>
      <c r="L27" s="116">
        <f>SUM(L12:L25)</f>
        <v>0</v>
      </c>
      <c r="M27" s="16"/>
      <c r="N27" s="741"/>
      <c r="O27" s="741"/>
      <c r="P27" s="741"/>
      <c r="Q27" s="16"/>
      <c r="R27" s="116">
        <f>SUM(R12:R25)</f>
        <v>0</v>
      </c>
      <c r="S27" s="16"/>
      <c r="T27" s="116">
        <f>SUM(T12:T25)</f>
        <v>0</v>
      </c>
      <c r="U27" s="16"/>
      <c r="V27" s="116">
        <f>SUM(V12:V25)</f>
        <v>0</v>
      </c>
      <c r="W27" s="33"/>
      <c r="X27" s="20"/>
      <c r="Y27" s="20"/>
    </row>
    <row r="28" spans="1:25" ht="4.5" customHeight="1">
      <c r="A28" s="29"/>
      <c r="B28" s="678"/>
      <c r="C28" s="678"/>
      <c r="D28" s="678"/>
      <c r="E28" s="21"/>
      <c r="F28" s="25"/>
      <c r="G28" s="21"/>
      <c r="H28" s="25"/>
      <c r="I28" s="21"/>
      <c r="J28" s="25"/>
      <c r="K28" s="25"/>
      <c r="L28" s="25"/>
      <c r="M28" s="21"/>
      <c r="N28" s="741"/>
      <c r="O28" s="741"/>
      <c r="P28" s="741"/>
      <c r="Q28" s="21"/>
      <c r="R28" s="25"/>
      <c r="S28" s="21"/>
      <c r="T28" s="25"/>
      <c r="U28" s="21"/>
      <c r="V28" s="25"/>
      <c r="W28" s="21"/>
      <c r="X28" s="20"/>
      <c r="Y28" s="20"/>
    </row>
    <row r="29" spans="1:25">
      <c r="A29" s="29"/>
      <c r="B29" s="814" t="s">
        <v>73</v>
      </c>
      <c r="C29" s="814"/>
      <c r="D29" s="814"/>
      <c r="E29" s="26"/>
      <c r="F29" s="814">
        <v>96</v>
      </c>
      <c r="G29" s="814"/>
      <c r="H29" s="814"/>
      <c r="I29" s="18"/>
      <c r="J29" s="146">
        <v>112</v>
      </c>
      <c r="K29" s="16"/>
      <c r="L29" s="146">
        <v>112</v>
      </c>
      <c r="M29" s="18"/>
      <c r="N29" s="741"/>
      <c r="O29" s="741"/>
      <c r="P29" s="741"/>
      <c r="Q29" s="18"/>
      <c r="R29" s="146">
        <v>113</v>
      </c>
      <c r="S29" s="18"/>
      <c r="T29" s="146">
        <v>114</v>
      </c>
      <c r="U29" s="21"/>
      <c r="V29" s="146">
        <v>115</v>
      </c>
      <c r="W29" s="21"/>
      <c r="X29" s="20"/>
      <c r="Y29" s="20"/>
    </row>
    <row r="30" spans="1:25" ht="4.5" customHeight="1">
      <c r="A30" s="29"/>
      <c r="B30" s="678"/>
      <c r="C30" s="678"/>
      <c r="D30" s="678"/>
      <c r="E30" s="21"/>
      <c r="F30" s="25"/>
      <c r="G30" s="21"/>
      <c r="H30" s="25"/>
      <c r="I30" s="21"/>
      <c r="J30" s="25"/>
      <c r="K30" s="25"/>
      <c r="L30" s="25"/>
      <c r="M30" s="21"/>
      <c r="N30" s="741"/>
      <c r="O30" s="741"/>
      <c r="P30" s="741"/>
      <c r="Q30" s="21"/>
      <c r="R30" s="25"/>
      <c r="S30" s="21"/>
      <c r="T30" s="25"/>
      <c r="U30" s="21"/>
      <c r="V30" s="25"/>
      <c r="W30" s="21"/>
      <c r="X30" s="20"/>
      <c r="Y30" s="20"/>
    </row>
    <row r="31" spans="1:25">
      <c r="A31" s="29"/>
      <c r="B31" s="706" t="s">
        <v>74</v>
      </c>
      <c r="C31" s="707"/>
      <c r="D31" s="708"/>
      <c r="E31" s="18"/>
      <c r="F31" s="34"/>
      <c r="G31" s="18"/>
      <c r="H31" s="154">
        <f>ROUND((+F27+H27),-3)</f>
        <v>0</v>
      </c>
      <c r="I31" s="26"/>
      <c r="J31" s="154">
        <f>ROUND(+J27,-3)</f>
        <v>0</v>
      </c>
      <c r="K31" s="147"/>
      <c r="L31" s="154">
        <f>ROUND(+L27,-3)</f>
        <v>0</v>
      </c>
      <c r="M31" s="26"/>
      <c r="N31" s="741"/>
      <c r="O31" s="741"/>
      <c r="P31" s="741"/>
      <c r="Q31" s="26"/>
      <c r="R31" s="154">
        <f>ROUND(+R27,-3)</f>
        <v>0</v>
      </c>
      <c r="S31" s="26"/>
      <c r="T31" s="154">
        <f>ROUND(+T27,-3)</f>
        <v>0</v>
      </c>
      <c r="U31" s="33"/>
      <c r="V31" s="154">
        <f>ROUND(+V27,-3)</f>
        <v>0</v>
      </c>
      <c r="W31" s="21"/>
      <c r="X31" s="20"/>
      <c r="Y31" s="20"/>
    </row>
    <row r="32" spans="1:25" ht="7.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0"/>
      <c r="Y32" s="20"/>
    </row>
    <row r="33" spans="1:25" ht="7.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0"/>
      <c r="Y33" s="20"/>
    </row>
    <row r="34" spans="1:25">
      <c r="A34" s="21"/>
      <c r="B34" s="679" t="s">
        <v>82</v>
      </c>
      <c r="C34" s="680"/>
      <c r="D34" s="680"/>
      <c r="E34" s="680"/>
      <c r="F34" s="680"/>
      <c r="G34" s="680"/>
      <c r="H34" s="680"/>
      <c r="I34" s="680"/>
      <c r="J34" s="681"/>
      <c r="K34" s="34"/>
      <c r="L34" s="34"/>
      <c r="M34" s="18"/>
      <c r="N34" s="18"/>
      <c r="O34" s="18"/>
      <c r="P34" s="18"/>
      <c r="Q34" s="18"/>
      <c r="R34" s="34"/>
      <c r="S34" s="18"/>
      <c r="T34" s="34"/>
      <c r="U34" s="33"/>
      <c r="V34" s="25"/>
      <c r="W34" s="21"/>
      <c r="X34" s="20"/>
      <c r="Y34" s="20"/>
    </row>
    <row r="35" spans="1:25" ht="4.5" customHeight="1">
      <c r="A35" s="21"/>
      <c r="B35" s="18"/>
      <c r="C35" s="18"/>
      <c r="D35" s="18"/>
      <c r="E35" s="18"/>
      <c r="F35" s="18"/>
      <c r="G35" s="18"/>
      <c r="H35" s="18"/>
      <c r="I35" s="18"/>
      <c r="J35" s="18"/>
      <c r="K35" s="34"/>
      <c r="L35" s="34"/>
      <c r="M35" s="18"/>
      <c r="N35" s="18"/>
      <c r="O35" s="18"/>
      <c r="P35" s="18"/>
      <c r="Q35" s="18"/>
      <c r="R35" s="34"/>
      <c r="S35" s="18"/>
      <c r="T35" s="34"/>
      <c r="U35" s="21"/>
      <c r="V35" s="25"/>
      <c r="W35" s="21"/>
      <c r="X35" s="20"/>
      <c r="Y35" s="20"/>
    </row>
    <row r="36" spans="1:25" ht="25.5">
      <c r="A36" s="21"/>
      <c r="B36" s="815" t="s">
        <v>49</v>
      </c>
      <c r="C36" s="816"/>
      <c r="D36" s="817"/>
      <c r="E36" s="26"/>
      <c r="F36" s="144" t="s">
        <v>83</v>
      </c>
      <c r="G36" s="26"/>
      <c r="H36" s="144" t="s">
        <v>5</v>
      </c>
      <c r="I36" s="26"/>
      <c r="J36" s="144" t="s">
        <v>172</v>
      </c>
      <c r="K36" s="34"/>
      <c r="L36" s="144" t="s">
        <v>84</v>
      </c>
      <c r="M36" s="26"/>
      <c r="N36" s="26"/>
      <c r="O36" s="26"/>
      <c r="P36" s="26"/>
      <c r="Q36" s="26"/>
      <c r="R36" s="34"/>
      <c r="S36" s="18"/>
      <c r="T36" s="34"/>
      <c r="U36" s="21"/>
      <c r="V36" s="25"/>
      <c r="W36" s="21"/>
      <c r="X36" s="20"/>
      <c r="Y36" s="20"/>
    </row>
    <row r="37" spans="1:25" ht="4.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34"/>
      <c r="L37" s="25"/>
      <c r="M37" s="21"/>
      <c r="N37" s="21"/>
      <c r="O37" s="21"/>
      <c r="P37" s="21"/>
      <c r="Q37" s="21"/>
      <c r="R37" s="34"/>
      <c r="S37" s="21"/>
      <c r="T37" s="25"/>
      <c r="U37" s="21"/>
      <c r="V37" s="25"/>
      <c r="W37" s="21"/>
      <c r="X37" s="20"/>
      <c r="Y37" s="20"/>
    </row>
    <row r="38" spans="1:25">
      <c r="A38" s="29"/>
      <c r="B38" s="703" t="s">
        <v>134</v>
      </c>
      <c r="C38" s="705"/>
      <c r="D38" s="144">
        <f>+Datos!D10-1</f>
        <v>2024</v>
      </c>
      <c r="E38" s="21"/>
      <c r="F38" s="458">
        <f>ROUND(+'Patrimonio Bruto'!L39,-3)</f>
        <v>0</v>
      </c>
      <c r="G38" s="21"/>
      <c r="H38" s="458">
        <f>ROUND(+'Patrimonio Bruto'!L41,-3)</f>
        <v>0</v>
      </c>
      <c r="I38" s="21"/>
      <c r="J38" s="154">
        <f>IF(F38&gt;H38,+F38-H38,0)</f>
        <v>0</v>
      </c>
      <c r="K38" s="34"/>
      <c r="L38" s="155">
        <f>IF(F38&gt;0,+J38/F38,0)</f>
        <v>0</v>
      </c>
      <c r="M38" s="35"/>
      <c r="N38" s="35"/>
      <c r="O38" s="35"/>
      <c r="P38" s="35"/>
      <c r="Q38" s="35"/>
      <c r="R38" s="34"/>
      <c r="S38" s="21"/>
      <c r="T38" s="25"/>
      <c r="U38" s="25"/>
      <c r="V38" s="25"/>
      <c r="W38" s="21"/>
      <c r="X38" s="20"/>
      <c r="Y38" s="20"/>
    </row>
    <row r="39" spans="1:25" ht="4.5" customHeight="1">
      <c r="A39" s="29"/>
      <c r="B39" s="678"/>
      <c r="C39" s="678"/>
      <c r="D39" s="678"/>
      <c r="E39" s="21"/>
      <c r="F39" s="25"/>
      <c r="G39" s="21"/>
      <c r="H39" s="25"/>
      <c r="I39" s="21"/>
      <c r="J39" s="25"/>
      <c r="K39" s="34"/>
      <c r="L39" s="25"/>
      <c r="M39" s="21"/>
      <c r="N39" s="21"/>
      <c r="O39" s="21"/>
      <c r="P39" s="21"/>
      <c r="Q39" s="21"/>
      <c r="R39" s="34"/>
      <c r="S39" s="21"/>
      <c r="T39" s="25"/>
      <c r="U39" s="25"/>
      <c r="V39" s="25"/>
      <c r="W39" s="21"/>
      <c r="X39" s="20"/>
      <c r="Y39" s="20"/>
    </row>
    <row r="40" spans="1:25" ht="38.25">
      <c r="A40" s="29"/>
      <c r="B40" s="815" t="s">
        <v>85</v>
      </c>
      <c r="C40" s="816"/>
      <c r="D40" s="817"/>
      <c r="E40" s="26"/>
      <c r="F40" s="144" t="s">
        <v>86</v>
      </c>
      <c r="G40" s="26"/>
      <c r="H40" s="144" t="s">
        <v>87</v>
      </c>
      <c r="I40" s="26"/>
      <c r="J40" s="144" t="s">
        <v>183</v>
      </c>
      <c r="K40" s="34"/>
      <c r="L40" s="25"/>
      <c r="M40" s="26"/>
      <c r="N40" s="144" t="s">
        <v>88</v>
      </c>
      <c r="O40" s="26"/>
      <c r="P40" s="26"/>
      <c r="Q40" s="26"/>
      <c r="R40" s="34"/>
      <c r="S40" s="26"/>
      <c r="T40" s="25"/>
      <c r="U40" s="25"/>
      <c r="V40" s="25"/>
      <c r="W40" s="21"/>
      <c r="X40" s="20"/>
      <c r="Y40" s="20"/>
    </row>
    <row r="41" spans="1:25" ht="4.5" customHeight="1">
      <c r="A41" s="29"/>
      <c r="B41" s="30"/>
      <c r="C41" s="30"/>
      <c r="D41" s="30"/>
      <c r="E41" s="21"/>
      <c r="F41" s="31"/>
      <c r="G41" s="21"/>
      <c r="H41" s="31"/>
      <c r="I41" s="21"/>
      <c r="J41" s="31"/>
      <c r="K41" s="34"/>
      <c r="L41" s="25"/>
      <c r="M41" s="21"/>
      <c r="N41" s="31"/>
      <c r="O41" s="21"/>
      <c r="P41" s="21"/>
      <c r="Q41" s="21"/>
      <c r="R41" s="34"/>
      <c r="S41" s="21"/>
      <c r="T41" s="25"/>
      <c r="U41" s="21"/>
      <c r="V41" s="25"/>
      <c r="W41" s="21"/>
      <c r="X41" s="20"/>
      <c r="Y41" s="20"/>
    </row>
    <row r="42" spans="1:25">
      <c r="A42" s="29">
        <v>1</v>
      </c>
      <c r="B42" s="808"/>
      <c r="C42" s="809"/>
      <c r="D42" s="810"/>
      <c r="E42" s="21"/>
      <c r="F42" s="45"/>
      <c r="G42" s="24"/>
      <c r="H42" s="52">
        <f>+F42-J42</f>
        <v>0</v>
      </c>
      <c r="I42" s="24"/>
      <c r="J42" s="52">
        <f>+F42*$L$38</f>
        <v>0</v>
      </c>
      <c r="K42" s="34"/>
      <c r="L42" s="25"/>
      <c r="M42" s="24"/>
      <c r="N42" s="45"/>
      <c r="O42" s="24"/>
      <c r="P42" s="24"/>
      <c r="Q42" s="24"/>
      <c r="R42" s="34"/>
      <c r="S42" s="24"/>
      <c r="T42" s="25"/>
      <c r="U42" s="25"/>
      <c r="V42" s="25"/>
      <c r="W42" s="21"/>
      <c r="X42" s="20"/>
      <c r="Y42" s="20"/>
    </row>
    <row r="43" spans="1:25">
      <c r="A43" s="29">
        <v>2</v>
      </c>
      <c r="B43" s="805"/>
      <c r="C43" s="806"/>
      <c r="D43" s="807"/>
      <c r="E43" s="21"/>
      <c r="F43" s="46"/>
      <c r="G43" s="24"/>
      <c r="H43" s="53">
        <f>+F43-J43</f>
        <v>0</v>
      </c>
      <c r="I43" s="24"/>
      <c r="J43" s="53">
        <f>+F43*$L$38</f>
        <v>0</v>
      </c>
      <c r="K43" s="34"/>
      <c r="L43" s="25"/>
      <c r="M43" s="24"/>
      <c r="N43" s="46"/>
      <c r="O43" s="24"/>
      <c r="P43" s="24"/>
      <c r="Q43" s="24"/>
      <c r="R43" s="34"/>
      <c r="S43" s="24"/>
      <c r="T43" s="24"/>
      <c r="U43" s="24"/>
      <c r="V43" s="24"/>
      <c r="W43" s="21"/>
      <c r="X43" s="20"/>
      <c r="Y43" s="20"/>
    </row>
    <row r="44" spans="1:25">
      <c r="A44" s="29">
        <v>3</v>
      </c>
      <c r="B44" s="805"/>
      <c r="C44" s="806"/>
      <c r="D44" s="807"/>
      <c r="E44" s="21"/>
      <c r="F44" s="46"/>
      <c r="G44" s="24"/>
      <c r="H44" s="53">
        <f>+F44-J44</f>
        <v>0</v>
      </c>
      <c r="I44" s="24"/>
      <c r="J44" s="53">
        <f>+F44*$L$38</f>
        <v>0</v>
      </c>
      <c r="K44" s="34"/>
      <c r="L44" s="25"/>
      <c r="M44" s="24"/>
      <c r="N44" s="46"/>
      <c r="O44" s="24"/>
      <c r="P44" s="24"/>
      <c r="Q44" s="24"/>
      <c r="R44" s="34"/>
      <c r="S44" s="24"/>
      <c r="T44" s="24"/>
      <c r="U44" s="24"/>
      <c r="V44" s="24"/>
      <c r="W44" s="21"/>
      <c r="X44" s="20"/>
      <c r="Y44" s="20"/>
    </row>
    <row r="45" spans="1:25">
      <c r="A45" s="29">
        <v>4</v>
      </c>
      <c r="B45" s="805"/>
      <c r="C45" s="806"/>
      <c r="D45" s="807"/>
      <c r="E45" s="21"/>
      <c r="F45" s="46"/>
      <c r="G45" s="24"/>
      <c r="H45" s="53">
        <f>+F45-J45</f>
        <v>0</v>
      </c>
      <c r="I45" s="24"/>
      <c r="J45" s="53">
        <f>+F45*$L$38</f>
        <v>0</v>
      </c>
      <c r="K45" s="34"/>
      <c r="L45" s="25"/>
      <c r="M45" s="24"/>
      <c r="N45" s="46"/>
      <c r="O45" s="24"/>
      <c r="P45" s="24"/>
      <c r="Q45" s="24"/>
      <c r="R45" s="34"/>
      <c r="S45" s="24"/>
      <c r="T45" s="24"/>
      <c r="U45" s="24"/>
      <c r="V45" s="24"/>
      <c r="W45" s="21"/>
      <c r="X45" s="20"/>
      <c r="Y45" s="20"/>
    </row>
    <row r="46" spans="1:25">
      <c r="A46" s="29">
        <v>5</v>
      </c>
      <c r="B46" s="811"/>
      <c r="C46" s="812"/>
      <c r="D46" s="813"/>
      <c r="E46" s="21"/>
      <c r="F46" s="47"/>
      <c r="G46" s="24"/>
      <c r="H46" s="54">
        <f>+F46-J46</f>
        <v>0</v>
      </c>
      <c r="I46" s="24"/>
      <c r="J46" s="54">
        <f>+F46*$L$38</f>
        <v>0</v>
      </c>
      <c r="K46" s="34"/>
      <c r="L46" s="25"/>
      <c r="M46" s="24"/>
      <c r="N46" s="47"/>
      <c r="O46" s="24"/>
      <c r="P46" s="24"/>
      <c r="Q46" s="24"/>
      <c r="R46" s="34"/>
      <c r="S46" s="24"/>
      <c r="T46" s="24"/>
      <c r="U46" s="24"/>
      <c r="V46" s="24"/>
      <c r="W46" s="21"/>
      <c r="X46" s="20"/>
      <c r="Y46" s="20"/>
    </row>
    <row r="47" spans="1:25" ht="6" customHeight="1">
      <c r="A47" s="29"/>
      <c r="B47" s="678"/>
      <c r="C47" s="678"/>
      <c r="D47" s="678"/>
      <c r="E47" s="21"/>
      <c r="F47" s="24"/>
      <c r="G47" s="24"/>
      <c r="H47" s="24"/>
      <c r="I47" s="24"/>
      <c r="J47" s="24"/>
      <c r="K47" s="34"/>
      <c r="L47" s="25"/>
      <c r="M47" s="24"/>
      <c r="N47" s="24"/>
      <c r="O47" s="24"/>
      <c r="P47" s="24"/>
      <c r="Q47" s="24"/>
      <c r="R47" s="34"/>
      <c r="S47" s="24"/>
      <c r="T47" s="24"/>
      <c r="U47" s="24"/>
      <c r="V47" s="24"/>
      <c r="W47" s="21"/>
      <c r="X47" s="20"/>
      <c r="Y47" s="20"/>
    </row>
    <row r="48" spans="1:25">
      <c r="A48" s="29"/>
      <c r="B48" s="730" t="s">
        <v>70</v>
      </c>
      <c r="C48" s="731"/>
      <c r="D48" s="732"/>
      <c r="E48" s="26"/>
      <c r="F48" s="116">
        <f>SUM(F42:F47)</f>
        <v>0</v>
      </c>
      <c r="G48" s="16"/>
      <c r="H48" s="116">
        <f>SUM(H42:H47)</f>
        <v>0</v>
      </c>
      <c r="I48" s="16"/>
      <c r="J48" s="116">
        <f>SUM(J42:J47)</f>
        <v>0</v>
      </c>
      <c r="K48" s="34"/>
      <c r="L48" s="25"/>
      <c r="M48" s="16"/>
      <c r="N48" s="16"/>
      <c r="O48" s="16"/>
      <c r="P48" s="34"/>
      <c r="Q48" s="16"/>
      <c r="R48" s="34"/>
      <c r="S48" s="16"/>
      <c r="T48" s="16"/>
      <c r="U48" s="24"/>
      <c r="V48" s="24"/>
      <c r="W48" s="21"/>
      <c r="X48" s="20"/>
      <c r="Y48" s="20"/>
    </row>
    <row r="49" spans="1:25" ht="4.5" customHeight="1">
      <c r="A49" s="29"/>
      <c r="B49" s="689"/>
      <c r="C49" s="689"/>
      <c r="D49" s="689"/>
      <c r="E49" s="26"/>
      <c r="F49" s="16"/>
      <c r="G49" s="16"/>
      <c r="H49" s="16"/>
      <c r="I49" s="16"/>
      <c r="J49" s="16"/>
      <c r="K49" s="34"/>
      <c r="L49" s="34"/>
      <c r="M49" s="16"/>
      <c r="N49" s="16"/>
      <c r="O49" s="16"/>
      <c r="P49" s="741" t="s">
        <v>91</v>
      </c>
      <c r="Q49" s="741"/>
      <c r="R49" s="741"/>
      <c r="S49" s="741"/>
      <c r="T49" s="741"/>
      <c r="U49" s="24"/>
      <c r="V49" s="24"/>
      <c r="W49" s="21"/>
      <c r="X49" s="20"/>
      <c r="Y49" s="20"/>
    </row>
    <row r="50" spans="1:25">
      <c r="A50" s="29"/>
      <c r="B50" s="730" t="s">
        <v>89</v>
      </c>
      <c r="C50" s="731"/>
      <c r="D50" s="732"/>
      <c r="E50" s="26"/>
      <c r="F50" s="16"/>
      <c r="G50" s="16"/>
      <c r="H50" s="16"/>
      <c r="I50" s="16"/>
      <c r="J50" s="116">
        <f>+J38-J48</f>
        <v>0</v>
      </c>
      <c r="K50" s="34"/>
      <c r="L50" s="34"/>
      <c r="M50" s="16"/>
      <c r="N50" s="16"/>
      <c r="O50" s="16"/>
      <c r="P50" s="741"/>
      <c r="Q50" s="741"/>
      <c r="R50" s="741"/>
      <c r="S50" s="741"/>
      <c r="T50" s="741"/>
      <c r="U50" s="37"/>
      <c r="V50" s="24"/>
      <c r="W50" s="21"/>
      <c r="X50" s="20"/>
      <c r="Y50" s="20"/>
    </row>
    <row r="51" spans="1:25" ht="6" customHeight="1">
      <c r="A51" s="29"/>
      <c r="B51" s="689"/>
      <c r="C51" s="689"/>
      <c r="D51" s="689"/>
      <c r="E51" s="26"/>
      <c r="F51" s="38"/>
      <c r="G51" s="26"/>
      <c r="H51" s="38"/>
      <c r="I51" s="26"/>
      <c r="J51" s="38"/>
      <c r="K51" s="34"/>
      <c r="L51" s="34"/>
      <c r="M51" s="26"/>
      <c r="N51" s="26"/>
      <c r="O51" s="26"/>
      <c r="P51" s="26"/>
      <c r="Q51" s="26"/>
      <c r="R51" s="38"/>
      <c r="S51" s="26"/>
      <c r="T51" s="38"/>
      <c r="U51" s="21"/>
      <c r="V51" s="25"/>
      <c r="W51" s="21"/>
      <c r="X51" s="20"/>
      <c r="Y51" s="20"/>
    </row>
    <row r="52" spans="1:25">
      <c r="A52" s="29"/>
      <c r="B52" s="730" t="s">
        <v>90</v>
      </c>
      <c r="C52" s="731"/>
      <c r="D52" s="732"/>
      <c r="E52" s="26"/>
      <c r="F52" s="38"/>
      <c r="G52" s="38"/>
      <c r="H52" s="38"/>
      <c r="I52" s="26"/>
      <c r="J52" s="159">
        <v>0</v>
      </c>
      <c r="K52" s="34"/>
      <c r="L52" s="116">
        <f>+J50*J52</f>
        <v>0</v>
      </c>
      <c r="M52" s="26"/>
      <c r="N52" s="116">
        <f>SUM(N42:N46)</f>
        <v>0</v>
      </c>
      <c r="O52" s="26"/>
      <c r="P52" s="156">
        <f>+L52+N52</f>
        <v>0</v>
      </c>
      <c r="Q52" s="26"/>
      <c r="R52" s="158" t="s">
        <v>74</v>
      </c>
      <c r="S52" s="16"/>
      <c r="T52" s="116">
        <f>ROUND(P52,-3)</f>
        <v>0</v>
      </c>
      <c r="U52" s="21"/>
      <c r="V52" s="25"/>
      <c r="W52" s="21"/>
      <c r="X52" s="20"/>
      <c r="Y52" s="20"/>
    </row>
    <row r="53" spans="1:25" ht="6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38"/>
      <c r="U53" s="21"/>
      <c r="V53" s="25"/>
      <c r="W53" s="21"/>
      <c r="X53" s="20"/>
      <c r="Y53" s="20"/>
    </row>
    <row r="54" spans="1:25" ht="13.5">
      <c r="A54" s="29"/>
      <c r="B54" s="799" t="s">
        <v>244</v>
      </c>
      <c r="C54" s="800"/>
      <c r="D54" s="801"/>
      <c r="E54" s="29"/>
      <c r="F54" s="144" t="s">
        <v>967</v>
      </c>
      <c r="G54" s="29"/>
      <c r="H54" s="173" t="s">
        <v>966</v>
      </c>
      <c r="I54" s="29"/>
      <c r="J54" s="144" t="s">
        <v>242</v>
      </c>
      <c r="K54" s="29"/>
      <c r="L54" s="144" t="s">
        <v>243</v>
      </c>
      <c r="M54" s="29"/>
      <c r="N54" s="29"/>
      <c r="O54" s="29"/>
      <c r="P54" s="29"/>
      <c r="Q54" s="29"/>
      <c r="R54" s="29"/>
      <c r="S54" s="29"/>
      <c r="T54" s="38"/>
      <c r="U54" s="21"/>
      <c r="V54" s="25"/>
      <c r="W54" s="21"/>
      <c r="X54" s="20"/>
      <c r="Y54" s="20"/>
    </row>
    <row r="55" spans="1:25" ht="27.75" customHeight="1">
      <c r="A55" s="29"/>
      <c r="B55" s="802" t="s">
        <v>245</v>
      </c>
      <c r="C55" s="803"/>
      <c r="D55" s="804"/>
      <c r="E55" s="29"/>
      <c r="F55" s="254">
        <f>+Rentas!F163</f>
        <v>0</v>
      </c>
      <c r="G55" s="29"/>
      <c r="H55" s="254">
        <f>+Rentas!H163</f>
        <v>0</v>
      </c>
      <c r="I55" s="29"/>
      <c r="J55" s="254">
        <f>+Rentas!J163</f>
        <v>0</v>
      </c>
      <c r="K55" s="29"/>
      <c r="L55" s="254">
        <f>+Rentas!L163</f>
        <v>0</v>
      </c>
      <c r="M55" s="29"/>
      <c r="N55" s="29"/>
      <c r="O55" s="29"/>
      <c r="P55" s="29"/>
      <c r="Q55" s="29"/>
      <c r="R55" s="29"/>
      <c r="S55" s="29"/>
      <c r="T55" s="38"/>
      <c r="U55" s="21"/>
      <c r="V55" s="25"/>
      <c r="W55" s="21"/>
      <c r="X55" s="20"/>
      <c r="Y55" s="20"/>
    </row>
    <row r="56" spans="1:25" ht="13.5">
      <c r="A56" s="29"/>
      <c r="B56" s="802" t="s">
        <v>247</v>
      </c>
      <c r="C56" s="803"/>
      <c r="D56" s="804"/>
      <c r="E56" s="29"/>
      <c r="F56" s="327">
        <f>+Rentas!F159</f>
        <v>0</v>
      </c>
      <c r="G56" s="29"/>
      <c r="H56" s="327">
        <f>+Rentas!H159</f>
        <v>0</v>
      </c>
      <c r="I56" s="29"/>
      <c r="J56" s="327">
        <f>+Rentas!J159</f>
        <v>0</v>
      </c>
      <c r="K56" s="29"/>
      <c r="L56" s="327">
        <f>+Rentas!L159</f>
        <v>0</v>
      </c>
      <c r="M56" s="29"/>
      <c r="N56" s="29"/>
      <c r="O56" s="29"/>
      <c r="P56" s="29"/>
      <c r="Q56" s="29"/>
      <c r="R56" s="29"/>
      <c r="S56" s="29"/>
      <c r="T56" s="38"/>
      <c r="U56" s="21"/>
      <c r="V56" s="25"/>
      <c r="W56" s="21"/>
      <c r="X56" s="20"/>
      <c r="Y56" s="20"/>
    </row>
    <row r="57" spans="1:25" ht="13.5">
      <c r="A57" s="29"/>
      <c r="B57" s="802" t="s">
        <v>248</v>
      </c>
      <c r="C57" s="803"/>
      <c r="D57" s="804"/>
      <c r="E57" s="29"/>
      <c r="F57" s="328">
        <f>+Rentas!F161</f>
        <v>0</v>
      </c>
      <c r="G57" s="29"/>
      <c r="H57" s="328">
        <f>+Rentas!H161</f>
        <v>0</v>
      </c>
      <c r="I57" s="29"/>
      <c r="J57" s="328">
        <f>+Rentas!J161</f>
        <v>0</v>
      </c>
      <c r="K57" s="29"/>
      <c r="L57" s="328">
        <f>+Rentas!L161</f>
        <v>0</v>
      </c>
      <c r="M57" s="29"/>
      <c r="N57" s="29"/>
      <c r="O57" s="29"/>
      <c r="P57" s="29"/>
      <c r="Q57" s="29"/>
      <c r="R57" s="29"/>
      <c r="S57" s="29"/>
      <c r="T57" s="38"/>
      <c r="U57" s="21"/>
      <c r="V57" s="25"/>
      <c r="W57" s="21"/>
      <c r="X57" s="20"/>
      <c r="Y57" s="20"/>
    </row>
    <row r="58" spans="1:25" ht="13.5">
      <c r="A58" s="38"/>
      <c r="B58" s="38"/>
      <c r="C58" s="38"/>
      <c r="D58" s="38"/>
      <c r="E58" s="38"/>
      <c r="F58" s="256" t="str">
        <f>IF((+F56+F57)=F55,"Ok","Descuadrado")</f>
        <v>Ok</v>
      </c>
      <c r="G58" s="38"/>
      <c r="H58" s="256" t="str">
        <f>IF((+H56+H57)=H55,"Ok","Descuadrado")</f>
        <v>Ok</v>
      </c>
      <c r="I58" s="38"/>
      <c r="J58" s="256" t="str">
        <f>IF((+J56+J57)=J55,"Ok","Descuadrado")</f>
        <v>Ok</v>
      </c>
      <c r="K58" s="38"/>
      <c r="L58" s="256" t="str">
        <f>IF((+L56+L57)=L55,"Ok","Descuadrado")</f>
        <v>Ok</v>
      </c>
      <c r="M58" s="38"/>
      <c r="N58" s="38"/>
      <c r="O58" s="38"/>
      <c r="P58" s="38"/>
      <c r="Q58" s="38"/>
      <c r="R58" s="29"/>
      <c r="S58" s="38"/>
      <c r="T58" s="38"/>
      <c r="U58" s="21"/>
      <c r="V58" s="25"/>
      <c r="W58" s="21"/>
      <c r="X58" s="20"/>
      <c r="Y58" s="20"/>
    </row>
    <row r="59" spans="1:25" ht="13.5">
      <c r="A59" s="38"/>
      <c r="B59" s="802" t="s">
        <v>249</v>
      </c>
      <c r="C59" s="803"/>
      <c r="D59" s="804"/>
      <c r="E59" s="38"/>
      <c r="F59" s="257">
        <f>IF(F55=0,0,+F56/F55)</f>
        <v>0</v>
      </c>
      <c r="G59" s="38"/>
      <c r="H59" s="257">
        <f>IF(H55=0,0,+H56/H55)</f>
        <v>0</v>
      </c>
      <c r="I59" s="38"/>
      <c r="J59" s="257">
        <f>IF(J55=0,0,+J56/J55)</f>
        <v>0</v>
      </c>
      <c r="K59" s="38"/>
      <c r="L59" s="257">
        <f>IF(L55=0,0,+L56/L55)</f>
        <v>0</v>
      </c>
      <c r="M59" s="38"/>
      <c r="N59" s="38"/>
      <c r="O59" s="38"/>
      <c r="P59" s="38"/>
      <c r="Q59" s="38"/>
      <c r="R59" s="29"/>
      <c r="S59" s="38"/>
      <c r="T59" s="38"/>
      <c r="U59" s="21"/>
      <c r="V59" s="25"/>
      <c r="W59" s="21"/>
      <c r="X59" s="20"/>
      <c r="Y59" s="20"/>
    </row>
    <row r="60" spans="1:25" ht="27.75" customHeight="1">
      <c r="A60" s="29"/>
      <c r="B60" s="802" t="s">
        <v>246</v>
      </c>
      <c r="C60" s="803"/>
      <c r="D60" s="804"/>
      <c r="E60" s="29"/>
      <c r="F60" s="255">
        <f>+Rentas!F175</f>
        <v>0</v>
      </c>
      <c r="G60" s="29"/>
      <c r="H60" s="255">
        <f>+Rentas!H175</f>
        <v>0</v>
      </c>
      <c r="I60" s="29"/>
      <c r="J60" s="255">
        <f>+Rentas!J175</f>
        <v>0</v>
      </c>
      <c r="K60" s="29"/>
      <c r="L60" s="255">
        <f>+Rentas!L175</f>
        <v>0</v>
      </c>
      <c r="M60" s="29"/>
      <c r="N60" s="255">
        <f>+Rentas!F187</f>
        <v>0</v>
      </c>
      <c r="O60" s="29"/>
      <c r="P60" s="799" t="s">
        <v>251</v>
      </c>
      <c r="Q60" s="800"/>
      <c r="R60" s="800"/>
      <c r="S60" s="38"/>
      <c r="T60" s="255">
        <f>IF((T52-N61)&gt;0,T52-N61,0)</f>
        <v>0</v>
      </c>
      <c r="U60" s="38"/>
      <c r="V60" s="38"/>
      <c r="W60" s="38"/>
      <c r="X60" s="20"/>
      <c r="Y60" s="20"/>
    </row>
    <row r="61" spans="1:25" ht="13.5">
      <c r="A61" s="29"/>
      <c r="B61" s="799" t="s">
        <v>250</v>
      </c>
      <c r="C61" s="800"/>
      <c r="D61" s="801"/>
      <c r="E61" s="29"/>
      <c r="F61" s="254">
        <f>ROUND(+F60*F59,-3)</f>
        <v>0</v>
      </c>
      <c r="G61" s="29"/>
      <c r="H61" s="254">
        <f>ROUND(+H60*H59,-3)</f>
        <v>0</v>
      </c>
      <c r="I61" s="29"/>
      <c r="J61" s="254">
        <f>ROUND(+J60*J59,-3)</f>
        <v>0</v>
      </c>
      <c r="K61" s="29"/>
      <c r="L61" s="254">
        <f>ROUND(+L60*L59,-3)</f>
        <v>0</v>
      </c>
      <c r="M61" s="29"/>
      <c r="N61" s="254">
        <f>+F61+H61+J61+L61</f>
        <v>0</v>
      </c>
      <c r="O61" s="29"/>
      <c r="P61" s="29"/>
      <c r="Q61" s="29"/>
      <c r="R61" s="29"/>
      <c r="S61" s="38"/>
      <c r="T61" s="157" t="s">
        <v>73</v>
      </c>
      <c r="U61" s="21"/>
      <c r="V61" s="38"/>
      <c r="W61" s="21"/>
      <c r="X61" s="20"/>
      <c r="Y61" s="20"/>
    </row>
    <row r="62" spans="1: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157">
        <v>98</v>
      </c>
      <c r="U62" s="21"/>
      <c r="V62" s="38"/>
      <c r="W62" s="21"/>
      <c r="X62" s="20"/>
      <c r="Y62" s="20"/>
    </row>
    <row r="63" spans="1: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21"/>
      <c r="V63" s="38"/>
      <c r="W63" s="21"/>
      <c r="X63" s="20"/>
      <c r="Y63" s="20"/>
    </row>
    <row r="64" spans="1: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38"/>
      <c r="W64" s="29"/>
      <c r="X64" s="20"/>
      <c r="Y64" s="20"/>
    </row>
    <row r="65" customFormat="1" hidden="1"/>
    <row r="66" customFormat="1" hidden="1"/>
    <row r="67" customFormat="1" hidden="1"/>
    <row r="68" customFormat="1" hidden="1"/>
    <row r="69" customFormat="1" hidden="1"/>
    <row r="70" customFormat="1" hidden="1"/>
    <row r="71" customFormat="1" hidden="1"/>
    <row r="72" customFormat="1" hidden="1"/>
    <row r="73" customFormat="1" hidden="1"/>
  </sheetData>
  <sheetProtection algorithmName="SHA-512" hashValue="sR/E2KagHqxV6dBiNWkq8TTZmbisSgxUCgfT56KjL2JP1qEoENLk/pnmTmMRVSge4E6O9z9WwIOvZZCcmGq8cA==" saltValue="NlfqLJ/Dj6bOgdJfenQXPg==" spinCount="100000" sheet="1" objects="1" scenarios="1" formatCells="0" formatColumns="0" formatRows="0" selectLockedCells="1"/>
  <mergeCells count="46">
    <mergeCell ref="P49:T50"/>
    <mergeCell ref="P60:R60"/>
    <mergeCell ref="B8:H8"/>
    <mergeCell ref="J8:V8"/>
    <mergeCell ref="F29:H29"/>
    <mergeCell ref="B43:D43"/>
    <mergeCell ref="B44:D44"/>
    <mergeCell ref="B45:D45"/>
    <mergeCell ref="B46:D46"/>
    <mergeCell ref="B49:D49"/>
    <mergeCell ref="B50:D50"/>
    <mergeCell ref="B39:D39"/>
    <mergeCell ref="B51:D51"/>
    <mergeCell ref="B52:D52"/>
    <mergeCell ref="B40:D40"/>
    <mergeCell ref="B42:D42"/>
    <mergeCell ref="B47:D47"/>
    <mergeCell ref="B48:D48"/>
    <mergeCell ref="B29:D29"/>
    <mergeCell ref="B30:D30"/>
    <mergeCell ref="B31:D31"/>
    <mergeCell ref="B34:J34"/>
    <mergeCell ref="B36:D36"/>
    <mergeCell ref="B38:C38"/>
    <mergeCell ref="B27:D27"/>
    <mergeCell ref="B28:D28"/>
    <mergeCell ref="B22:D22"/>
    <mergeCell ref="B23:D23"/>
    <mergeCell ref="B24:D24"/>
    <mergeCell ref="B25:D25"/>
    <mergeCell ref="N10:P31"/>
    <mergeCell ref="B54:D54"/>
    <mergeCell ref="B55:D55"/>
    <mergeCell ref="B60:D60"/>
    <mergeCell ref="B61:D61"/>
    <mergeCell ref="B56:D56"/>
    <mergeCell ref="B57:D57"/>
    <mergeCell ref="B59:D59"/>
    <mergeCell ref="B16:D16"/>
    <mergeCell ref="B10:D10"/>
    <mergeCell ref="B12:D12"/>
    <mergeCell ref="B13:D13"/>
    <mergeCell ref="B14:D14"/>
    <mergeCell ref="B15:D15"/>
    <mergeCell ref="B17:D17"/>
    <mergeCell ref="B26:D26"/>
  </mergeCells>
  <phoneticPr fontId="8" type="noConversion"/>
  <pageMargins left="0.39370078740157483" right="0.39370078740157483" top="0.59055118110236227" bottom="0.78740157480314965" header="0" footer="0.39370078740157483"/>
  <pageSetup scale="90" orientation="landscape" r:id="rId1"/>
  <headerFooter alignWithMargins="0">
    <oddFooter>&amp;L&amp;A&amp;CPágina &amp;P de &amp;N</oddFooter>
  </headerFooter>
  <rowBreaks count="1" manualBreakCount="1">
    <brk id="32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Portada</vt:lpstr>
      <vt:lpstr>Presentación</vt:lpstr>
      <vt:lpstr>CIUU</vt:lpstr>
      <vt:lpstr>Vencimientos</vt:lpstr>
      <vt:lpstr>Datos</vt:lpstr>
      <vt:lpstr>Patrimonio Bruto</vt:lpstr>
      <vt:lpstr>Patrimonio Liquido</vt:lpstr>
      <vt:lpstr>Rentas</vt:lpstr>
      <vt:lpstr>Rtas Especiales</vt:lpstr>
      <vt:lpstr>Nómina</vt:lpstr>
      <vt:lpstr>Gastos</vt:lpstr>
      <vt:lpstr>Anexo Contador</vt:lpstr>
      <vt:lpstr>DR 210 Borrador</vt:lpstr>
      <vt:lpstr>Decreto 0449 de 2026</vt:lpstr>
      <vt:lpstr>Estados Financieros</vt:lpstr>
      <vt:lpstr>'Anexo Contador'!Títulos_a_imprimir</vt:lpstr>
      <vt:lpstr>Rentas!Títulos_a_imprimir</vt:lpstr>
      <vt:lpstr>'Rtas Especiales'!Títulos_a_imprimir</vt:lpstr>
    </vt:vector>
  </TitlesOfParts>
  <Company>OCT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Herramienta 210</dc:title>
  <dc:subject>Tributario</dc:subject>
  <dc:creator>OCT Profesional</dc:creator>
  <cp:keywords>OCT Profesional</cp:keywords>
  <dc:description>Herramienta para contadores</dc:description>
  <cp:lastModifiedBy>Omar de J</cp:lastModifiedBy>
  <cp:lastPrinted>2026-06-20T21:26:14Z</cp:lastPrinted>
  <dcterms:created xsi:type="dcterms:W3CDTF">2007-01-26T14:39:25Z</dcterms:created>
  <dcterms:modified xsi:type="dcterms:W3CDTF">2026-08-19T13:51:04Z</dcterms:modified>
  <cp:category>Herramientas</cp:category>
  <cp:version>AGT-006</cp:version>
</cp:coreProperties>
</file>